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visible" name="Categories&gt;&gt;" sheetId="2" r:id="rId5"/>
    <sheet state="visible" name="Sources by Category" sheetId="3" r:id="rId6"/>
    <sheet state="visible" name="Sources by Method" sheetId="4" r:id="rId7"/>
    <sheet state="visible" name="Category Candidates" sheetId="5" r:id="rId8"/>
    <sheet state="visible" name="Wiki Categories" sheetId="6" r:id="rId9"/>
    <sheet state="visible" name="DNU&gt;&gt;" sheetId="7" r:id="rId10"/>
    <sheet state="visible" name="Paid Sources Onboarding List" sheetId="8" r:id="rId11"/>
    <sheet state="visible" name="Newsletters" sheetId="9" r:id="rId12"/>
    <sheet state="visible" name="Create an Account" sheetId="10" r:id="rId13"/>
    <sheet state="visible" name="Backlog" sheetId="11" r:id="rId14"/>
    <sheet state="visible" name="Excessive Ads" sheetId="12" r:id="rId15"/>
  </sheets>
  <definedNames>
    <definedName hidden="1" localSheetId="0" name="_xlnm._FilterDatabase">Sources!$B$2:$T$759</definedName>
    <definedName hidden="1" localSheetId="2" name="_xlnm._FilterDatabase">'Sources by Category'!$B$2:$G$654</definedName>
    <definedName hidden="1" localSheetId="5" name="_xlnm._FilterDatabase">'Wiki Categories'!$B$2:$D$45</definedName>
  </definedNames>
  <calcPr/>
</workbook>
</file>

<file path=xl/sharedStrings.xml><?xml version="1.0" encoding="utf-8"?>
<sst xmlns="http://schemas.openxmlformats.org/spreadsheetml/2006/main" count="6483" uniqueCount="2069">
  <si>
    <t>Website Name</t>
  </si>
  <si>
    <t>Parent Publisher Name</t>
  </si>
  <si>
    <t>Download Method</t>
  </si>
  <si>
    <t>News API Hits</t>
  </si>
  <si>
    <t>RSS Feed Link</t>
  </si>
  <si>
    <t>Link</t>
  </si>
  <si>
    <t>No slash</t>
  </si>
  <si>
    <t>Cleaned Link</t>
  </si>
  <si>
    <t>News API Link</t>
  </si>
  <si>
    <t>News API 1</t>
  </si>
  <si>
    <t>News API 2</t>
  </si>
  <si>
    <t>News API 3</t>
  </si>
  <si>
    <t>IsNews</t>
  </si>
  <si>
    <t>Publisher Type</t>
  </si>
  <si>
    <t>Paywall Value</t>
  </si>
  <si>
    <t>Status</t>
  </si>
  <si>
    <t>Release</t>
  </si>
  <si>
    <t>Publisher Deletion Date</t>
  </si>
  <si>
    <t>Category</t>
  </si>
  <si>
    <t>1000 Word Philosophy</t>
  </si>
  <si>
    <t>Official RSS</t>
  </si>
  <si>
    <t>https://1000wordphilosophy.com/feed/</t>
  </si>
  <si>
    <t>https://1000wordphilosophy.com/</t>
  </si>
  <si>
    <t>https://newsapi.org/v2/everything?domains=</t>
  </si>
  <si>
    <t>&amp;apiKey=ae2ad3e68d4e4daca149bbfb9b61c010</t>
  </si>
  <si>
    <t>Website</t>
  </si>
  <si>
    <t>V1</t>
  </si>
  <si>
    <t>NA</t>
  </si>
  <si>
    <t>Philosophy</t>
  </si>
  <si>
    <t>6am group - Music</t>
  </si>
  <si>
    <t>Fetch RSS</t>
  </si>
  <si>
    <t>http://fetchrss.com/rss/63e4e4830f32204f7f522ad263ee1b8bcef662106d5cc7a2.xml</t>
  </si>
  <si>
    <t>Music</t>
  </si>
  <si>
    <t>6am group - News</t>
  </si>
  <si>
    <t>http://fetchrss.com/rss/63e4e4830f32204f7f522ad263ee1b60c4d226203e7db762.xml</t>
  </si>
  <si>
    <t>https://www.6amgroup.com/</t>
  </si>
  <si>
    <t>A list apart</t>
  </si>
  <si>
    <t>https://alistapart.com/main/feed/</t>
  </si>
  <si>
    <t>https://alistapart.com/</t>
  </si>
  <si>
    <t>Blog</t>
  </si>
  <si>
    <t>User Experience</t>
  </si>
  <si>
    <t>A Newsletter</t>
  </si>
  <si>
    <t>https://anewsletter.alisoneroman.com/feed</t>
  </si>
  <si>
    <t>Substack</t>
  </si>
  <si>
    <t>Food</t>
  </si>
  <si>
    <t>A Smart Bear</t>
  </si>
  <si>
    <t>https://longform.asmartbear.com/index.xml</t>
  </si>
  <si>
    <t>https://blog.asmartbear.com/</t>
  </si>
  <si>
    <t>Business</t>
  </si>
  <si>
    <t>Abduzeedo</t>
  </si>
  <si>
    <t>News API</t>
  </si>
  <si>
    <t>https://abduzeedo.com/</t>
  </si>
  <si>
    <t>Design</t>
  </si>
  <si>
    <t>Acoup Blog</t>
  </si>
  <si>
    <t>https://acoup.blog/feed/</t>
  </si>
  <si>
    <t>https://acoup.blog/</t>
  </si>
  <si>
    <t>History</t>
  </si>
  <si>
    <t>ADPlist</t>
  </si>
  <si>
    <t>https://adplist.substack.com/feed</t>
  </si>
  <si>
    <t>Aeon - Architecture</t>
  </si>
  <si>
    <t>http://fetchrss.com/rss/63e4e4830f32204f7f522ad263e60fd119614a5c7c717c43.xml</t>
  </si>
  <si>
    <t>Architecture</t>
  </si>
  <si>
    <t>Aeon - Astronomy</t>
  </si>
  <si>
    <t>http://fetchrss.com/rss/63e4e4830f32204f7f522ad263e50036ade0d90afa291882.xml</t>
  </si>
  <si>
    <t>Space</t>
  </si>
  <si>
    <t>Aeon - Beauty and Aesthetics</t>
  </si>
  <si>
    <t>http://fetchrss.com/rss/63e4e4830f32204f7f522ad263e608a55859cf5bc60bbf22.xml</t>
  </si>
  <si>
    <t>Arts</t>
  </si>
  <si>
    <t>Aeon - Biography and Memoir</t>
  </si>
  <si>
    <t>https://fetchrss.com/generator/generate</t>
  </si>
  <si>
    <t>Essays</t>
  </si>
  <si>
    <t>Aeon - Biology</t>
  </si>
  <si>
    <t>http://fetchrss.com/rss/63e4e4830f32204f7f522ad263e500d2022fb9714c6725e2.xml</t>
  </si>
  <si>
    <t>Biology</t>
  </si>
  <si>
    <t>Aeon - Computing AI</t>
  </si>
  <si>
    <t>http://fetchrss.com/rss/63e4e4830f32204f7f522ad263e5012d50075c611005f1e2.xml</t>
  </si>
  <si>
    <t>Tech</t>
  </si>
  <si>
    <t>Aeon - Cosmology</t>
  </si>
  <si>
    <t>http://fetchrss.com/rss/63e4e4830f32204f7f522ad263e607341e3358554f2b6e43.xml</t>
  </si>
  <si>
    <t>Aeon - Culture</t>
  </si>
  <si>
    <t>http://fetchrss.com/rss/63e4e4830f32204f7f522ad263e61755c5c7ff053a2ec934.xml</t>
  </si>
  <si>
    <t>Aeon - Design</t>
  </si>
  <si>
    <t>http://fetchrss.com/rss/63e4e4830f32204f7f522ad263e61625f24b942020732382.xml</t>
  </si>
  <si>
    <t>Aeon - Earth Science</t>
  </si>
  <si>
    <t>http://fetchrss.com/rss/63e4e4830f32204f7f522ad263e50173367aea480e7fe0a3.xml</t>
  </si>
  <si>
    <t>Environment</t>
  </si>
  <si>
    <t>Aeon - Environmental Science</t>
  </si>
  <si>
    <t>http://fetchrss.com/rss/63e4e4830f32204f7f522ad263e501aaa9d9d0035d1df503.xml</t>
  </si>
  <si>
    <t>Aeon - Film</t>
  </si>
  <si>
    <t>http://fetchrss.com/rss/63e4e4830f32204f7f522ad263e61657eb6e3d57c453ccb2.xml</t>
  </si>
  <si>
    <t>Film</t>
  </si>
  <si>
    <t>Aeon - Food</t>
  </si>
  <si>
    <t>http://fetchrss.com/rss/63e4e4830f32204f7f522ad263e6167ca37992785b3aa242.xml</t>
  </si>
  <si>
    <t>Aeon - History</t>
  </si>
  <si>
    <t>http://fetchrss.com/rss/63e4e4830f32204f7f522ad263e60bd65ecbd137940e46b2.xml</t>
  </si>
  <si>
    <t>Aeon - History of Tech</t>
  </si>
  <si>
    <t>http://fetchrss.com/rss/63e4e4830f32204f7f522ad263e60bf3145b7a54072029c2.xml</t>
  </si>
  <si>
    <t>Aeon - Human Evolution</t>
  </si>
  <si>
    <t>http://fetchrss.com/rss/63e4e4830f32204f7f522ad263e6077aa26f517b0c5d3673.xml</t>
  </si>
  <si>
    <t>Aeon - Human Reproduction</t>
  </si>
  <si>
    <t>http://fetchrss.com/rss/63e4e4830f32204f7f522ad263e6079942e9410e936293d3.xml</t>
  </si>
  <si>
    <t>Medicine</t>
  </si>
  <si>
    <t>Aeon - Linguistics</t>
  </si>
  <si>
    <t>http://fetchrss.com/rss/63e4e4830f32204f7f522ad263e60a9ae45a4474f638b0e2.xml</t>
  </si>
  <si>
    <t>Linguistics</t>
  </si>
  <si>
    <t>Aeon - Literature</t>
  </si>
  <si>
    <t>http://fetchrss.com/rss/63e4e4830f32204f7f522ad263e61715a4f4dc7c4b303f12.xml</t>
  </si>
  <si>
    <t>Literature</t>
  </si>
  <si>
    <t>Aeon - llness and Disease</t>
  </si>
  <si>
    <t>http://fetchrss.com/rss/63e4e4830f32204f7f522ad263e607ba56b5d31e8f596333.xml</t>
  </si>
  <si>
    <t>Aeon - Medicine</t>
  </si>
  <si>
    <t>http://fetchrss.com/rss/63e4e4830f32204f7f522ad263e607dda8ab93302a0f9d33.xml</t>
  </si>
  <si>
    <t>Aeon - Music</t>
  </si>
  <si>
    <t>http://fetchrss.com/rss/63e4e4830f32204f7f522ad263e616de294d843069440282.xml</t>
  </si>
  <si>
    <t>Aeon - Nations and Empires</t>
  </si>
  <si>
    <t>http://fetchrss.com/rss/63e4e4830f32204f7f522ad263e60c1ba4567b637e57e672.xml</t>
  </si>
  <si>
    <t>Aeon - Neuroscience</t>
  </si>
  <si>
    <t>http://fetchrss.com/rss/63e4e4830f32204f7f522ad263e60acdbb50a54aa700b323.xml</t>
  </si>
  <si>
    <t>Aeon - Ocean and Water</t>
  </si>
  <si>
    <t>http://fetchrss.com/rss/63e4e4830f32204f7f522ad263e607f650e7f332b777f7c2.xml</t>
  </si>
  <si>
    <t>Aeon - Paleontology</t>
  </si>
  <si>
    <t>http://fetchrss.com/rss/63e4e4830f32204f7f522ad263e6081f6cf71341ae537ba3.xml</t>
  </si>
  <si>
    <t>Aeon - Philosophy</t>
  </si>
  <si>
    <t>http://fetchrss.com/rss/63e4e4830f32204f7f522ad263e60a37a8a9302a7a1e59a2.xml</t>
  </si>
  <si>
    <t>Aeon - Philosophy of Language</t>
  </si>
  <si>
    <t>http://fetchrss.com/rss/63e4e4830f32204f7f522ad263e60a02e5c713397c438cb2.xml</t>
  </si>
  <si>
    <t>Aeon - Psychology</t>
  </si>
  <si>
    <t>http://fetchrss.com/rss/63e4e4830f32204f7f522ad263e60b6a1ba46d480213cda4.xml</t>
  </si>
  <si>
    <t>Psychology</t>
  </si>
  <si>
    <t>Aeon - Science</t>
  </si>
  <si>
    <t>http://fetchrss.com/rss/63e4e4830f32204f7f522ad263e6086ef2662d521b673a43.xml</t>
  </si>
  <si>
    <t>Science</t>
  </si>
  <si>
    <t>Aeon - Society</t>
  </si>
  <si>
    <t>http://fetchrss.com/rss/63e4e4830f32204f7f522ad263e60c7fbbece616a6188662.xml</t>
  </si>
  <si>
    <t>Aeon - Space Exploration</t>
  </si>
  <si>
    <t>http://fetchrss.com/rss/63e4e4830f32204f7f522ad263e6084bbfd97e6ed240b6c2.xml</t>
  </si>
  <si>
    <t>Aeon - Tech and Self</t>
  </si>
  <si>
    <t>http://fetchrss.com/rss/63e4e4830f32204f7f522ad263e60b2d7ed159366a22f9e4.xml</t>
  </si>
  <si>
    <t>Aeon - The Environment</t>
  </si>
  <si>
    <t>http://fetchrss.com/rss/63e4e4830f32204f7f522ad263e60c57a8a9302a7a1e59a5.xml</t>
  </si>
  <si>
    <t>Age of Revolutions</t>
  </si>
  <si>
    <t>https://ageofrevolutions.com/feed/</t>
  </si>
  <si>
    <t>https://ageofrevolutions.com/</t>
  </si>
  <si>
    <t>Ahead of AI</t>
  </si>
  <si>
    <t>https://magazine.sebastianraschka.com/feed</t>
  </si>
  <si>
    <t>Programming</t>
  </si>
  <si>
    <t>AMA</t>
  </si>
  <si>
    <t>https://www.ama-assn.org/</t>
  </si>
  <si>
    <t>American cancer society</t>
  </si>
  <si>
    <t>http://fetchrss.com/rss/63e4e4830f32204f7f522ad263ee1f0774bf186bb5373de2.xml</t>
  </si>
  <si>
    <t>https://www.cancer.org/</t>
  </si>
  <si>
    <t>Ancient Origins Unleashed</t>
  </si>
  <si>
    <t>https://www.ancientoriginsunleashed.com/feed</t>
  </si>
  <si>
    <t>APA Org Monitor</t>
  </si>
  <si>
    <t>http://fetchrss.com/rss/63e4e4830f32204f7f522ad263ee201c7b9f034c460a8762.xml</t>
  </si>
  <si>
    <t>https://www.apa.org/monitor/</t>
  </si>
  <si>
    <t>Apple Insider</t>
  </si>
  <si>
    <t>https://appleinsider.com/</t>
  </si>
  <si>
    <t>Arch Daily</t>
  </si>
  <si>
    <t>https://www.archdaily.com/</t>
  </si>
  <si>
    <t>Archinect Features</t>
  </si>
  <si>
    <t>https://archinect.com/</t>
  </si>
  <si>
    <t>Architect's Journal - Buildings</t>
  </si>
  <si>
    <t>http://fetchrss.com/rss/63e4e4830f32204f7f522ad263ee34a5e6950b61ac0d50c2.xml</t>
  </si>
  <si>
    <t>Architect's Journal - Competiton</t>
  </si>
  <si>
    <t>http://fetchrss.com/rss/63e4e4830f32204f7f522ad263ee347c29537d51a91fad52.xml</t>
  </si>
  <si>
    <t>Architect's Journal - News</t>
  </si>
  <si>
    <t>http://fetchrss.com/rss/63e4e4830f32204f7f522ad263ee3442aba7b959ae708a42.xml</t>
  </si>
  <si>
    <t>https://www.architectsjournal.co.uk/</t>
  </si>
  <si>
    <t>Architect's Journal - Practice</t>
  </si>
  <si>
    <t>http://fetchrss.com/rss/63e4e4830f32204f7f522ad263ee358d62008440865e9df2.xml</t>
  </si>
  <si>
    <t>Architect's Journal - Specifications</t>
  </si>
  <si>
    <t>http://fetchrss.com/rss/63e4e4830f32204f7f522ad263ee35611ad6186cae79a152.xml</t>
  </si>
  <si>
    <t>Architectural Digest</t>
  </si>
  <si>
    <t>http://fetchrss.com/rss/63e4e4830f32204f7f522ad263eea904fa49b73a1d0498d2.xml</t>
  </si>
  <si>
    <t>https://www.architecturaldigest.com/</t>
  </si>
  <si>
    <t>&amp;apiKey=7d4cb29b783f48c8a1837901e959f134</t>
  </si>
  <si>
    <t>Architectural Review</t>
  </si>
  <si>
    <t>http://fetchrss.com/rss/63e4e4830f32204f7f522ad263ef50174827df50f81a2c42.xml</t>
  </si>
  <si>
    <t>https://www.architectural-review.com/</t>
  </si>
  <si>
    <t>Architecture Today</t>
  </si>
  <si>
    <t>https://architecturetoday.co.uk/feed/</t>
  </si>
  <si>
    <t>https://architecturetoday.co.uk/</t>
  </si>
  <si>
    <t>Architonic</t>
  </si>
  <si>
    <t>https://www.architonic.com/</t>
  </si>
  <si>
    <t>Ars Technica - Cardboard</t>
  </si>
  <si>
    <t>https://feeds.arstechnica.com/arstechnica/cardboard</t>
  </si>
  <si>
    <t>Gaming</t>
  </si>
  <si>
    <t>Ars Techinca - Gears</t>
  </si>
  <si>
    <t>https://feeds.arstechnica.com/arstechnica/gadgets</t>
  </si>
  <si>
    <t>Ars Techinca Opposable Thumbs</t>
  </si>
  <si>
    <t>https://feeds.arstechnica.com/arstechnica/gaming</t>
  </si>
  <si>
    <t>Ars Technica - Infinite</t>
  </si>
  <si>
    <t>https://feeds.arstechnica.com/arstechnica/apple</t>
  </si>
  <si>
    <t>Ars Technica - Tech</t>
  </si>
  <si>
    <t>https://feeds.arstechnica.com/arstechnica/technology-lab</t>
  </si>
  <si>
    <t>https://arstechnica.com/</t>
  </si>
  <si>
    <t>Ars Technica - The Scientific Method</t>
  </si>
  <si>
    <t>https://feeds.arstechnica.com/arstechnica/science</t>
  </si>
  <si>
    <t>Art Newspaper</t>
  </si>
  <si>
    <t>https://www.artforum.com/rss.xml</t>
  </si>
  <si>
    <t>https://www.artforum.com/</t>
  </si>
  <si>
    <t>Art of the title</t>
  </si>
  <si>
    <t>https://www.artofthetitle.com/</t>
  </si>
  <si>
    <t>Art.art Blog</t>
  </si>
  <si>
    <t>http://fetchrss.com/rss/63e4e4830f32204f7f522ad263f236d50ed29357712ba8c2.xml</t>
  </si>
  <si>
    <t>https://art.art/</t>
  </si>
  <si>
    <t>Artnews</t>
  </si>
  <si>
    <t>https://www.artnews.com/</t>
  </si>
  <si>
    <t>Artsy</t>
  </si>
  <si>
    <t>http://fetchrss.com/rss/63e4e4830f32204f7f522ad263efb6f747526d4c7c5fdd22.xml</t>
  </si>
  <si>
    <t>https://www.artsy.net/</t>
  </si>
  <si>
    <t>Asterisk Mag</t>
  </si>
  <si>
    <t>http://fetchrss.com/rss/63e4e4830f32204f7f522ad263eea97e927d0836015d80f7.xml</t>
  </si>
  <si>
    <t>https://asteriskmag.com/</t>
  </si>
  <si>
    <t>Astronomy</t>
  </si>
  <si>
    <t>http://fetchrss.com/rss/63e4e4830f32204f7f522ad263ee22091d15cf2c764c6532.xml</t>
  </si>
  <si>
    <t>https://astronomy.com/</t>
  </si>
  <si>
    <t>Astronomy Now</t>
  </si>
  <si>
    <t>http://fetchrss.com/rss/63e4e4830f32204f7f522ad263ee36b2c1f19535b6366eb2.xml</t>
  </si>
  <si>
    <t>https://astronomynow.com/</t>
  </si>
  <si>
    <t>Atlas Obscura</t>
  </si>
  <si>
    <t>https://www.atlasobscura.com/</t>
  </si>
  <si>
    <t>All</t>
  </si>
  <si>
    <t>Atticus Wierix</t>
  </si>
  <si>
    <t>https://atticuswierix.substack.com/feed</t>
  </si>
  <si>
    <t>Finance</t>
  </si>
  <si>
    <t>Axios - Buisiness</t>
  </si>
  <si>
    <t>http://fetchrss.com/rss/63e4e4830f32204f7f522ad263e6218ad0b72f6df44f1a92.xml</t>
  </si>
  <si>
    <t>Axios - Energy Environment</t>
  </si>
  <si>
    <t>http://fetchrss.com/rss/63e4e4830f32204f7f522ad263e620a7940ad103eb056e72.xml</t>
  </si>
  <si>
    <t>Axios - Gaming</t>
  </si>
  <si>
    <t>http://fetchrss.com/rss/63e4e4830f32204f7f522ad263e621132f9de46e1f616712.xml</t>
  </si>
  <si>
    <t>Axios - Health</t>
  </si>
  <si>
    <t>http://fetchrss.com/rss/63e4e4830f32204f7f522ad263e621a8167385377a57e4a2.xml</t>
  </si>
  <si>
    <t>Axios - Science</t>
  </si>
  <si>
    <t>http://fetchrss.com/rss/63e4e4830f32204f7f522ad263e620df72e99e13fe54f9b2.xml</t>
  </si>
  <si>
    <t>Axios - Technology</t>
  </si>
  <si>
    <t>http://fetchrss.com/rss/63e4e4830f32204f7f522ad263e6214d72e99e13fe54f9b3.xml</t>
  </si>
  <si>
    <t>Axios - World</t>
  </si>
  <si>
    <t>http://fetchrss.com/rss/63e4e4830f32204f7f522ad263e6202e0b84d87c9f0cfbb2.xml</t>
  </si>
  <si>
    <t>International</t>
  </si>
  <si>
    <t>Bankless</t>
  </si>
  <si>
    <t>https://newsletter.banklesshq.com/feed</t>
  </si>
  <si>
    <t>https://newsletter.banklesshq.com/</t>
  </si>
  <si>
    <t>Crypto</t>
  </si>
  <si>
    <t>Bankrate</t>
  </si>
  <si>
    <t>https://www.bankrate.com/</t>
  </si>
  <si>
    <t>Economy</t>
  </si>
  <si>
    <t>BBC - Art</t>
  </si>
  <si>
    <t>http://fetchrss.com/rss/63e4e4830f32204f7f522ad263e639cf24148f16b4422df2.xml</t>
  </si>
  <si>
    <t>BBC - Books</t>
  </si>
  <si>
    <t>http://fetchrss.com/rss/63e4e4830f32204f7f522ad263e639fca9070616e03a3c32.xml</t>
  </si>
  <si>
    <t>BBC - Business</t>
  </si>
  <si>
    <t>http://feeds.bbci.co.uk/news/business/rss.xml</t>
  </si>
  <si>
    <t>BBC - Collection</t>
  </si>
  <si>
    <t>http://fetchrss.com/rss/63e4e4830f32204f7f522ad263e63aabe87fa11fa329eed2.xml</t>
  </si>
  <si>
    <t>BBC - Designed</t>
  </si>
  <si>
    <t>http://fetchrss.com/rss/63e4e4830f32204f7f522ad263e63a74fa98821cde116a52.xml</t>
  </si>
  <si>
    <t>BBC - Economy</t>
  </si>
  <si>
    <t>http://fetchrss.com/rss/63e4e4830f32204f7f522ad263e6379c164cd60e4411ae22.xml</t>
  </si>
  <si>
    <t>BBC - Film</t>
  </si>
  <si>
    <t>http://fetchrss.com/rss/63e4e4830f32204f7f522ad263e6399ee1e4de07290355b2.xml</t>
  </si>
  <si>
    <t>BBC - Food</t>
  </si>
  <si>
    <t>http://fetchrss.com/rss/63e4e4830f32204f7f522ad263e63ad1ea1b741e8d618cb2.xml</t>
  </si>
  <si>
    <t>BBC - Future Planet</t>
  </si>
  <si>
    <t>http://fetchrss.com/rss/63e4e4830f32204f7f522ad263e63b05b2ed752a3f146122.xml</t>
  </si>
  <si>
    <t>BBC - Health</t>
  </si>
  <si>
    <t>http://feeds.bbci.co.uk/news/health/rss.xml</t>
  </si>
  <si>
    <t>BBC - Health Gap</t>
  </si>
  <si>
    <t>http://fetchrss.com/rss/63e4e4830f32204f7f522ad263e63b98dccb962efb6c4512.xml</t>
  </si>
  <si>
    <t>BBC - Immune Response</t>
  </si>
  <si>
    <t>http://fetchrss.com/rss/63e4e4830f32204f7f522ad263e63b56ac2ad61f1d2d7cc2.xml</t>
  </si>
  <si>
    <t>BBC - Lost Index</t>
  </si>
  <si>
    <t>http://fetchrss.com/rss/63e4e4830f32204f7f522ad263e63b32a67d57290d79db32.xml</t>
  </si>
  <si>
    <t>BBC - Music</t>
  </si>
  <si>
    <t>http://fetchrss.com/rss/63e4e4830f32204f7f522ad263e63a1e398038282f22a0a3.xml</t>
  </si>
  <si>
    <t>BBC - Science</t>
  </si>
  <si>
    <t>http://feeds.bbci.co.uk/news/science_and_environment/rss.xml</t>
  </si>
  <si>
    <t>BBC - Science Environment</t>
  </si>
  <si>
    <t>http://fetchrss.com/rss/63e4e4830f32204f7f522ad263e6385d4944af445c384332.xml</t>
  </si>
  <si>
    <t>BBC - Space</t>
  </si>
  <si>
    <t>http://fetchrss.com/rss/63e4e4830f32204f7f522ad263e638dcb471aa6b076891a2.xml</t>
  </si>
  <si>
    <t>BBC - Style</t>
  </si>
  <si>
    <t>http://fetchrss.com/rss/63e4e4830f32204f7f522ad263e63a4219e9ce0e504f2b02.xml</t>
  </si>
  <si>
    <t>Fashion</t>
  </si>
  <si>
    <t>BBC - Tech</t>
  </si>
  <si>
    <t>http://feeds.bbci.co.uk/news/technology/rss.xml</t>
  </si>
  <si>
    <t>BBC - Tech Business</t>
  </si>
  <si>
    <t>http://fetchrss.com/rss/63e4e4830f32204f7f522ad263e637684a2f436a1e594af2.xml</t>
  </si>
  <si>
    <t>BBC - World</t>
  </si>
  <si>
    <t>http://feeds.bbci.co.uk/news/world/rss.xml</t>
  </si>
  <si>
    <t>Bellingcat</t>
  </si>
  <si>
    <t>https://www.bellingcat.com/</t>
  </si>
  <si>
    <t>Ben Watches Things</t>
  </si>
  <si>
    <t>https://benwatchesthings.com/feed/</t>
  </si>
  <si>
    <t>https://benwatchesthings.com/</t>
  </si>
  <si>
    <t>Biased and Inefficient</t>
  </si>
  <si>
    <t>https://notstatschat.rbind.io/index.xml</t>
  </si>
  <si>
    <t>https://notstatschat.rbind.io/</t>
  </si>
  <si>
    <t>Statistics</t>
  </si>
  <si>
    <t>Big by Matt Stoller</t>
  </si>
  <si>
    <t>https://mattstoller.substack.com/feed</t>
  </si>
  <si>
    <t>Big Think - Health</t>
  </si>
  <si>
    <t>http://fetchrss.com/rss/63e4e4830f32204f7f522ad263e79eb3d04d1826e3131b32.xml</t>
  </si>
  <si>
    <t>Big Think - High Society</t>
  </si>
  <si>
    <t>http://fetchrss.com/rss/63e4e4830f32204f7f522ad263e79c85322e0a61956ef872.xml</t>
  </si>
  <si>
    <t>Big Think - Psychology</t>
  </si>
  <si>
    <t>http://fetchrss.com/rss/63e4e4830f32204f7f522ad263e79bffa2579315ca7a7c22.xml</t>
  </si>
  <si>
    <t>Big Think - Science</t>
  </si>
  <si>
    <t>http://fetchrss.com/rss/63e4e4830f32204f7f522ad263e79ed72524182a785abaf2.xml</t>
  </si>
  <si>
    <t>Big Think - The Current</t>
  </si>
  <si>
    <t>http://fetchrss.com/rss/63e4e4830f32204f7f522ad263e79e4d950625124a4f9923.xml</t>
  </si>
  <si>
    <t>Big Think - The Future</t>
  </si>
  <si>
    <t>http://fetchrss.com/rss/63e4e4830f32204f7f522ad263e79e7b2ec49c056143d1d2.xml</t>
  </si>
  <si>
    <t>Big Think - The Life</t>
  </si>
  <si>
    <t>http://fetchrss.com/rss/63e4e4830f32204f7f522ad263e79e99422ba16500288d02.xml</t>
  </si>
  <si>
    <t>Big Think - The Past</t>
  </si>
  <si>
    <t>http://fetchrss.com/rss/63e4e4830f32204f7f522ad263e79ca5950625124a4f9922.xml</t>
  </si>
  <si>
    <t>Big Think - Thinking</t>
  </si>
  <si>
    <t>http://fetchrss.com/rss/63e4e4830f32204f7f522ad263e79c54586b8b0a9b075173.xml</t>
  </si>
  <si>
    <t>Bio Scription</t>
  </si>
  <si>
    <t>https://bioscriptionblog.com/feed/</t>
  </si>
  <si>
    <t>http://bioscriptionblog.com/</t>
  </si>
  <si>
    <t>Bitcoin magazine</t>
  </si>
  <si>
    <t>bitcoinmagazine.com/feed</t>
  </si>
  <si>
    <t>Blind Five Year Old</t>
  </si>
  <si>
    <t>https://feeds2.feedburner.com/BlindFiveYearOld</t>
  </si>
  <si>
    <t>https://www.blindfiveyearold.com/</t>
  </si>
  <si>
    <t>Marketing</t>
  </si>
  <si>
    <t>Boom</t>
  </si>
  <si>
    <t>https://www.booooooom.com/feed/</t>
  </si>
  <si>
    <t>https://www.booooooom.com/</t>
  </si>
  <si>
    <t>Photography</t>
  </si>
  <si>
    <t>Boring App Sec</t>
  </si>
  <si>
    <t>https://boringappsec.substack.com/feed</t>
  </si>
  <si>
    <t>BP &amp; O</t>
  </si>
  <si>
    <t>https://bpando.org/</t>
  </si>
  <si>
    <t>BPS Psychologist</t>
  </si>
  <si>
    <t>http://fetchrss.com/rss/63e4e4830f32204f7f522ad263f237f6e559a244b30bfde2.xml</t>
  </si>
  <si>
    <t>https://www.bps.org.uk/psychologist</t>
  </si>
  <si>
    <t>Brad Muchen</t>
  </si>
  <si>
    <t>https://bradmunchen.substack.com/feed</t>
  </si>
  <si>
    <t>Broken Plate</t>
  </si>
  <si>
    <t>https://www.brokenpalate.com/feed</t>
  </si>
  <si>
    <t xml:space="preserve">Brookings </t>
  </si>
  <si>
    <t>https://www.brookings.edu/</t>
  </si>
  <si>
    <t>Building blog</t>
  </si>
  <si>
    <t>https://bldgblog.com/feed/</t>
  </si>
  <si>
    <t>https://bldgblog.com/</t>
  </si>
  <si>
    <t>Business of Fashion</t>
  </si>
  <si>
    <t>https://www.businessoffashion.com/arc/outboundfeeds/rss/?outputType=xml</t>
  </si>
  <si>
    <t>https://www.businessoffashion.com/</t>
  </si>
  <si>
    <t>Cal Paterson</t>
  </si>
  <si>
    <t>https://calpaterson.com/calpaterson.rss</t>
  </si>
  <si>
    <t>https://calpaterson.com/</t>
  </si>
  <si>
    <t>Cambridge - Arts</t>
  </si>
  <si>
    <t>http://fetchrss.com/rss/63e4e4830f32204f7f522ad263e78b63daee3d65fa205332.xml</t>
  </si>
  <si>
    <t>Cambridge - Business</t>
  </si>
  <si>
    <t>http://fetchrss.com/rss/63e4e4830f32204f7f522ad263e78b9e5635fe4bca7abf72.xml</t>
  </si>
  <si>
    <t>Cambridge - Climate</t>
  </si>
  <si>
    <t>http://fetchrss.com/rss/63e4e4830f32204f7f522ad263e78a848b105f4333045f22.xml</t>
  </si>
  <si>
    <t>Cambridge - Health</t>
  </si>
  <si>
    <t>http://fetchrss.com/rss/63e4e4830f32204f7f522ad263e78a4b42e91a12c60f2f62.xml</t>
  </si>
  <si>
    <t>Cambridge - Science</t>
  </si>
  <si>
    <t>http://fetchrss.com/rss/63e4e4830f32204f7f522ad263e78aab42872f2f27012922.xml</t>
  </si>
  <si>
    <t>Cambridge - Society</t>
  </si>
  <si>
    <t>http://fetchrss.com/rss/63e4e4830f32204f7f522ad263e78b3f058efd5f9e029ac2.xml</t>
  </si>
  <si>
    <t>Cambridge - Tech</t>
  </si>
  <si>
    <t>http://fetchrss.com/rss/63e4e4830f32204f7f522ad263e78ac7b41ee15aef659692.xml</t>
  </si>
  <si>
    <t>Carnegie Endowment</t>
  </si>
  <si>
    <t>https://carnegieendowment.org/</t>
  </si>
  <si>
    <t>Cars Technica</t>
  </si>
  <si>
    <t>https://feeds.arstechnica.com/arstechnica/cars</t>
  </si>
  <si>
    <t>Cars</t>
  </si>
  <si>
    <t>Cato Institute Op Eds</t>
  </si>
  <si>
    <t>https://www.cato.org/ecommunity/rss</t>
  </si>
  <si>
    <t>https://www.cato.org/</t>
  </si>
  <si>
    <t>Cato Liberty</t>
  </si>
  <si>
    <t>https://www.cato.org/rss/blog</t>
  </si>
  <si>
    <t>CDC</t>
  </si>
  <si>
    <t>https://www.cdc.gov/</t>
  </si>
  <si>
    <t>CDixon</t>
  </si>
  <si>
    <t>http://fetchrss.com/rss/63e4e4830f32204f7f522ad263ee236a8a2be949ab01e262.xml</t>
  </si>
  <si>
    <t>https://cdixon.org/</t>
  </si>
  <si>
    <t>Cell</t>
  </si>
  <si>
    <t>https://www.cell.com/</t>
  </si>
  <si>
    <t>CFR Org</t>
  </si>
  <si>
    <t>https://www.cfr.org/</t>
  </si>
  <si>
    <t>Chatham House</t>
  </si>
  <si>
    <t>https://www.chathamhouse.org/path/whatsnew.xml</t>
  </si>
  <si>
    <t>https://www.chathamhouse.org/</t>
  </si>
  <si>
    <t>Cine Centric</t>
  </si>
  <si>
    <t>https://cineccentric.com/feed/</t>
  </si>
  <si>
    <t>https://cineccentric.com/</t>
  </si>
  <si>
    <t>CNet</t>
  </si>
  <si>
    <t>https://www.cnet.com/</t>
  </si>
  <si>
    <t>Coda Story</t>
  </si>
  <si>
    <t>http://fetchrss.com/rss/63e4e4830f32204f7f522ad263ee1875066c202a2a780c82.xml</t>
  </si>
  <si>
    <t>https://www.codastory.com/</t>
  </si>
  <si>
    <t>Coding Horror</t>
  </si>
  <si>
    <t>https://blog.codinghorror.com/rss/</t>
  </si>
  <si>
    <t>https://blog.codinghorror.com/</t>
  </si>
  <si>
    <t>Coin Telegraph</t>
  </si>
  <si>
    <t>https://cointelegraph.com/</t>
  </si>
  <si>
    <t>Collabfund blog</t>
  </si>
  <si>
    <t>http://feeds.feedburner.com/collabfund</t>
  </si>
  <si>
    <t>Collectors Weekly - Culture</t>
  </si>
  <si>
    <t>http://fetchrss.com/rss/63e4e4830f32204f7f522ad263ee39316430195bb33832a3.xml</t>
  </si>
  <si>
    <t>Collectors Weekly - Design</t>
  </si>
  <si>
    <t>http://fetchrss.com/rss/63e4e4830f32204f7f522ad263ee38dea14e800a0d166e02.xml</t>
  </si>
  <si>
    <t>Collectors Weekly - Fashion</t>
  </si>
  <si>
    <t>http://fetchrss.com/rss/63e4e4830f32204f7f522ad263ee388158087461c236dfc2.xml</t>
  </si>
  <si>
    <t>https://www.collectorsweekly.com/</t>
  </si>
  <si>
    <t>Collectors Weekly - Home</t>
  </si>
  <si>
    <t>http://fetchrss.com/rss/63e4e4830f32204f7f522ad263ee3913643da152de4ddad3.xml</t>
  </si>
  <si>
    <t>Collectors Weekly - Machine</t>
  </si>
  <si>
    <t>http://fetchrss.com/rss/63e4e4830f32204f7f522ad263ee395b62008440865e9df4.xml</t>
  </si>
  <si>
    <t>Columbia Journalism Review</t>
  </si>
  <si>
    <t>http://fetchrss.com/rss/63e4e4830f32204f7f522ad26400986357ac106231234bb2.xml</t>
  </si>
  <si>
    <t>Construction Physics</t>
  </si>
  <si>
    <t>https://constructionphysics.substack.com/feed</t>
  </si>
  <si>
    <t>Content Marketing Institute</t>
  </si>
  <si>
    <t>https://contentmarketinginstitute.com/</t>
  </si>
  <si>
    <t>Copy Blogger</t>
  </si>
  <si>
    <t>https://copyblogger.com/blog/feed/</t>
  </si>
  <si>
    <t>https://copyblogger.com/</t>
  </si>
  <si>
    <t>Count Baysesie</t>
  </si>
  <si>
    <t>https://www.countbayesie.com/?format=rss</t>
  </si>
  <si>
    <t>https://www.countbayesie.com/</t>
  </si>
  <si>
    <t>Craig Mod</t>
  </si>
  <si>
    <t>https://craigmod.com/index.xml</t>
  </si>
  <si>
    <t>https://craigmod.com/</t>
  </si>
  <si>
    <t>Creative Market Blog</t>
  </si>
  <si>
    <t>https://creativemarket.com/blog/feed</t>
  </si>
  <si>
    <t>https://creativemarket.com/</t>
  </si>
  <si>
    <t>Critical Fallibism</t>
  </si>
  <si>
    <t>https://criticalfallibilism.com/posts/rss/</t>
  </si>
  <si>
    <t>https://criticalfallibilism.com/</t>
  </si>
  <si>
    <t>Crooked Timber</t>
  </si>
  <si>
    <t>https://crookedtimber.org/feed/</t>
  </si>
  <si>
    <t>https://crookedtimber.org/</t>
  </si>
  <si>
    <t>Crunchbase News</t>
  </si>
  <si>
    <t>http://fetchrss.com/rss/63e4e4830f32204f7f522ad263ee318a8d427c0f3428cd53.xml</t>
  </si>
  <si>
    <t>https://www.crunchbase.com/</t>
  </si>
  <si>
    <t>Crypto Market Pool</t>
  </si>
  <si>
    <t>http://fetchrss.com/rss/63e4e4830f32204f7f522ad263ee31e9d6867776b73159e2.xml</t>
  </si>
  <si>
    <t>https://cryptomarketpool.com/</t>
  </si>
  <si>
    <t>Crypto Potato</t>
  </si>
  <si>
    <t>cryptopotato.com/feed</t>
  </si>
  <si>
    <t>CSIS</t>
  </si>
  <si>
    <t>https://www.csis.org/</t>
  </si>
  <si>
    <t>Curbed</t>
  </si>
  <si>
    <t>https://www.curbed.com/</t>
  </si>
  <si>
    <t>Daily Jstor - Arts</t>
  </si>
  <si>
    <t>http://fetchrss.com/rss/63e4e4830f32204f7f522ad263e79394db568b225d0dc104.xml</t>
  </si>
  <si>
    <t>Daily Jstor - Biology</t>
  </si>
  <si>
    <t>http://fetchrss.com/rss/63e4e4830f32204f7f522ad263e79805cb7b6064f94de162.xml</t>
  </si>
  <si>
    <t>Daily Jstor - Business</t>
  </si>
  <si>
    <t>http://fetchrss.com/rss/63e4e4830f32204f7f522ad263e7972fc4e80232bb7ef4c2.xml</t>
  </si>
  <si>
    <t>Daily Jstor - Economics</t>
  </si>
  <si>
    <t>http://fetchrss.com/rss/63e4e4830f32204f7f522ad263e797548287d217df0fb012.xml</t>
  </si>
  <si>
    <t>Daily Jstor - Film</t>
  </si>
  <si>
    <t>http://fetchrss.com/rss/63e4e4830f32204f7f522ad263e796a915a81415ed6b4cf2.xml</t>
  </si>
  <si>
    <t>Daily Jstor - Literature</t>
  </si>
  <si>
    <t>http://fetchrss.com/rss/63e4e4830f32204f7f522ad263e796c8ac74a73dd371d112.xml</t>
  </si>
  <si>
    <t>Daily Jstor - Medicine</t>
  </si>
  <si>
    <t>http://fetchrss.com/rss/63e4e4830f32204f7f522ad263e797ab586b8b0a9b075172.xml</t>
  </si>
  <si>
    <t>Daily Jstor - Natural Science</t>
  </si>
  <si>
    <t>http://fetchrss.com/rss/63e4e4830f32204f7f522ad263e797d9def77f5788700873.xml</t>
  </si>
  <si>
    <t>Daily Jstor - Performing Arts</t>
  </si>
  <si>
    <t>http://fetchrss.com/rss/63e4e4830f32204f7f522ad263e79705def77f5788700872.xml</t>
  </si>
  <si>
    <t>Daily Jstor - Politics</t>
  </si>
  <si>
    <t>Daily Jstor - Sustainability</t>
  </si>
  <si>
    <t>http://fetchrss.com/rss/63e4e4830f32204f7f522ad263e798282b835e6ba736f372.xml</t>
  </si>
  <si>
    <t>Daily Jstor - Tech</t>
  </si>
  <si>
    <t>http://fetchrss.com/rss/63e4e4830f32204f7f522ad263e79858def77f5788700874.xml</t>
  </si>
  <si>
    <t>Daily Nous</t>
  </si>
  <si>
    <t>https://dailynous.com/feed/</t>
  </si>
  <si>
    <t>https://dailynous.com/</t>
  </si>
  <si>
    <t>Damn Interesting</t>
  </si>
  <si>
    <t>https://www.damninteresting.com/</t>
  </si>
  <si>
    <t>Dan Wang</t>
  </si>
  <si>
    <t>https://danwang.co/feed/</t>
  </si>
  <si>
    <t>Daniell Akens</t>
  </si>
  <si>
    <t>https://daniellakens.blogspot.com/feeds/posts/default</t>
  </si>
  <si>
    <t>https://daniellakens.blogspot.com/</t>
  </si>
  <si>
    <t>Danluu</t>
  </si>
  <si>
    <t>https://danluu.com/atom.xml</t>
  </si>
  <si>
    <t>https://danluu.com/</t>
  </si>
  <si>
    <t>Data Colada</t>
  </si>
  <si>
    <t>https://datacolada.org/feed</t>
  </si>
  <si>
    <t>http://datacolada.org/</t>
  </si>
  <si>
    <t>David Bordell Blog</t>
  </si>
  <si>
    <t>https://www.davidbordwell.net/blog/feed/</t>
  </si>
  <si>
    <t>http://www.davidbordwell.net/</t>
  </si>
  <si>
    <t>David Duchemin</t>
  </si>
  <si>
    <t>https://davidduchemin.com/</t>
  </si>
  <si>
    <t>David Epstein Substack</t>
  </si>
  <si>
    <t>https://davidepstein.substack.com/feed</t>
  </si>
  <si>
    <t>Dazed</t>
  </si>
  <si>
    <t>https://www.dazeddigital.com/</t>
  </si>
  <si>
    <t>Decor8</t>
  </si>
  <si>
    <t>https://decor8.substack.com/feed</t>
  </si>
  <si>
    <t>Dergigi</t>
  </si>
  <si>
    <t>http://fetchrss.com/rss/63e4e4830f32204f7f522ad263efbb6890902f480e23dff2.xml</t>
  </si>
  <si>
    <t>https://dergigi.com/</t>
  </si>
  <si>
    <t>Design Boom - Architecture</t>
  </si>
  <si>
    <t>http://fetchrss.com/rss/63e4e4830f32204f7f522ad263ef4528542a1e0da519d662.xml</t>
  </si>
  <si>
    <t>Design Boom - Art</t>
  </si>
  <si>
    <t>http://fetchrss.com/rss/63e4e4830f32204f7f522ad263ef454c1a5f457feb771d42.xml</t>
  </si>
  <si>
    <t>Design Boom - Design</t>
  </si>
  <si>
    <t>http://fetchrss.com/rss/63e4e4830f32204f7f522ad263ef4505f9e2702b39372d92.xml</t>
  </si>
  <si>
    <t>https://www.designboom.com/</t>
  </si>
  <si>
    <t>Design Notes Gov UK</t>
  </si>
  <si>
    <t>http://fetchrss.com/rss/63e4e4830f32204f7f522ad263eeb186f2015723c267d392.xml</t>
  </si>
  <si>
    <t>https://designnotes.blog.gov.uk/</t>
  </si>
  <si>
    <t>Dezeen</t>
  </si>
  <si>
    <t>https://www.dezeen.com/</t>
  </si>
  <si>
    <t>Diamond Geezer</t>
  </si>
  <si>
    <t>http://feeds.feedburner.com/blogspot/HcFb</t>
  </si>
  <si>
    <t>https://diamondgeezer.blogspot.com/</t>
  </si>
  <si>
    <t>Dieline</t>
  </si>
  <si>
    <t>https://thedieline.com/feed/posts</t>
  </si>
  <si>
    <t>https://thedieline.com/</t>
  </si>
  <si>
    <t>Digiday</t>
  </si>
  <si>
    <t>https://digiday.com/</t>
  </si>
  <si>
    <t>Discogs</t>
  </si>
  <si>
    <t>http://fetchrss.com/rss/63e4e4830f32204f7f522ad263ee32ecdb532b61ce29efc2.xml</t>
  </si>
  <si>
    <t>https://www.discogs.com/</t>
  </si>
  <si>
    <t>Dissolve Features</t>
  </si>
  <si>
    <t>http://fetchrss.com/rss/63e4e4830f32204f7f522ad263eeab3d7432ba23283a4475.xml</t>
  </si>
  <si>
    <t>Dissolve Reviews</t>
  </si>
  <si>
    <t>http://fetchrss.com/rss/63e4e4830f32204f7f522ad263eeaad1bfa0236e38675968.xml</t>
  </si>
  <si>
    <t>Divisare</t>
  </si>
  <si>
    <t>http://fetchrss.com/rss/63e4e4830f32204f7f522ad263efb2f49894605dc143c092.xml</t>
  </si>
  <si>
    <t>https://divisare.com/</t>
  </si>
  <si>
    <t>DPReview</t>
  </si>
  <si>
    <t>https://www.dpreview.com/</t>
  </si>
  <si>
    <t>Durham University Boundary News</t>
  </si>
  <si>
    <t>http://fetchrss.com/rss/63e4e4830f32204f7f522ad263f23a6b1e8e344714581282.xml</t>
  </si>
  <si>
    <t>https://www.durham.ac.uk/</t>
  </si>
  <si>
    <t>Dwell</t>
  </si>
  <si>
    <t>https://www.dwell.com/@dwell/rss</t>
  </si>
  <si>
    <t>Dynomight</t>
  </si>
  <si>
    <t>https://dynomight.net/feed.xml</t>
  </si>
  <si>
    <t>https://dynomight.net/</t>
  </si>
  <si>
    <t>E Life Sciences</t>
  </si>
  <si>
    <t>https://elifesciences.org/</t>
  </si>
  <si>
    <t>Earth How - Biology</t>
  </si>
  <si>
    <t>http://fetchrss.com/rss/63e4e4830f32204f7f522ad263ef46519932ee33a46976f3.xml</t>
  </si>
  <si>
    <t>Earth How - Geology</t>
  </si>
  <si>
    <t>http://fetchrss.com/rss/63e4e4830f32204f7f522ad263ef462a9f5ab33a344ff772.xml</t>
  </si>
  <si>
    <t>https://earthhow.com/</t>
  </si>
  <si>
    <t>Earth How - Space</t>
  </si>
  <si>
    <t>http://fetchrss.com/rss/63e4e4830f32204f7f522ad263ef4710220cf77626317bb2.xml</t>
  </si>
  <si>
    <t>Earth How - Water</t>
  </si>
  <si>
    <t>http://fetchrss.com/rss/63e4e4830f32204f7f522ad263ef474d838f7b635b124663.xml</t>
  </si>
  <si>
    <t>Eater</t>
  </si>
  <si>
    <t>https://www.eater.com/</t>
  </si>
  <si>
    <t>ECFR Eu</t>
  </si>
  <si>
    <t>https://ecfr.eu/feed/</t>
  </si>
  <si>
    <t>https://ecfr.eu/</t>
  </si>
  <si>
    <t>Econ browser</t>
  </si>
  <si>
    <t>https://econbrowser.com/feed</t>
  </si>
  <si>
    <t>http://econbrowser.com/</t>
  </si>
  <si>
    <t>Econ Lib</t>
  </si>
  <si>
    <t>https://www.econlib.org/</t>
  </si>
  <si>
    <t>Ed Zitron Substack</t>
  </si>
  <si>
    <t>https://ez.substack.com/feed</t>
  </si>
  <si>
    <t>Edge - Culture</t>
  </si>
  <si>
    <t>http://fetchrss.com/rss/63e4e4830f32204f7f522ad26407027b26803a4f993cd2d2.xml</t>
  </si>
  <si>
    <t>Edge - Psychology</t>
  </si>
  <si>
    <t>http://fetchrss.com/rss/63e4e4830f32204f7f522ad264070220ed75a3133a4ed973.xml</t>
  </si>
  <si>
    <t>Edge - Science</t>
  </si>
  <si>
    <t>http://fetchrss.com/rss/63e4e4830f32204f7f522ad26407025ac8ff064a71467162.xml</t>
  </si>
  <si>
    <t>Edge - Tech</t>
  </si>
  <si>
    <t>http://fetchrss.com/rss/63e4e4830f32204f7f522ad2640702c368ff2150ce53cad2.xml</t>
  </si>
  <si>
    <t>Edge - Universe</t>
  </si>
  <si>
    <t>http://fetchrss.com/rss/63e4e4830f32204f7f522ad26407029c6aebcb6ebb721672.xml</t>
  </si>
  <si>
    <t>Edmunds Car News</t>
  </si>
  <si>
    <t>https://www.edmunds.com/feeds/rss/articles.xml</t>
  </si>
  <si>
    <t>https://www.edmunds.com/</t>
  </si>
  <si>
    <t>Eiko Fried</t>
  </si>
  <si>
    <t>https://eiko-fried.com/feed/</t>
  </si>
  <si>
    <t>https://eiko-fried.com/</t>
  </si>
  <si>
    <t>Elad Blog</t>
  </si>
  <si>
    <t>https://blog.eladgil.com/feed</t>
  </si>
  <si>
    <t>Elaine Substack</t>
  </si>
  <si>
    <t>https://elainewrites.substack.com/feed</t>
  </si>
  <si>
    <t>Elliot Pepper</t>
  </si>
  <si>
    <t>https://eliotpeper.substack.com/feed</t>
  </si>
  <si>
    <t>Endagadget</t>
  </si>
  <si>
    <t>https://www.engadget.com/</t>
  </si>
  <si>
    <t>Erik Hoel</t>
  </si>
  <si>
    <t>https://erikhoel.substack.com/feed</t>
  </si>
  <si>
    <t>Escpaing flatlands</t>
  </si>
  <si>
    <t>https://escapingflatland.substack.com/feed</t>
  </si>
  <si>
    <t>Eukaryote Blog</t>
  </si>
  <si>
    <t>https://eukaryotewritesblog.com/feed/</t>
  </si>
  <si>
    <t>Eureka Alert</t>
  </si>
  <si>
    <t>https://www.eurekalert.org/</t>
  </si>
  <si>
    <t>Everyday Astronaut</t>
  </si>
  <si>
    <t>https://everydayastronaut.com/feed/</t>
  </si>
  <si>
    <t>https://everydayastronaut.com/</t>
  </si>
  <si>
    <t>Evonomics</t>
  </si>
  <si>
    <t>https://evonomics.com/feed/</t>
  </si>
  <si>
    <t>Economics</t>
  </si>
  <si>
    <t>Exp mag - Nature</t>
  </si>
  <si>
    <t>http://fetchrss.com/rss/63e4e4830f32204f7f522ad263e7a195cf716640b07e4502.xml</t>
  </si>
  <si>
    <t>Exp mag - Robots</t>
  </si>
  <si>
    <t>http://fetchrss.com/rss/63e4e4830f32204f7f522ad263e7a15add06890bec670b52.xml</t>
  </si>
  <si>
    <t>Experimental History</t>
  </si>
  <si>
    <t>https://experimentalhistory.substack.com/feed</t>
  </si>
  <si>
    <t>Exponential View</t>
  </si>
  <si>
    <t>https://www.exponentialview.co/feed</t>
  </si>
  <si>
    <t>Farnam Street</t>
  </si>
  <si>
    <t>https://fs.blog/</t>
  </si>
  <si>
    <t>FDA</t>
  </si>
  <si>
    <t>https://www.fda.gov/</t>
  </si>
  <si>
    <t>Federal Reserve</t>
  </si>
  <si>
    <t>https://www.federalreserve.gov/</t>
  </si>
  <si>
    <t>Film Stage</t>
  </si>
  <si>
    <t>http://feeds.feedburner.com/thefilmstage</t>
  </si>
  <si>
    <t>https://thefilmstage.com/</t>
  </si>
  <si>
    <t>Five books</t>
  </si>
  <si>
    <t>http://fetchrss.com/rss/63e4e4830f32204f7f522ad263efbbef7d44b250ba11f822.xml</t>
  </si>
  <si>
    <t>https://fivebooks.com/</t>
  </si>
  <si>
    <t>Fivethirtyeight</t>
  </si>
  <si>
    <t>https://fivethirtyeight.com/</t>
  </si>
  <si>
    <t>Flak Photo</t>
  </si>
  <si>
    <t>https://flakphoto.substack.com/feed</t>
  </si>
  <si>
    <t>Flowing data</t>
  </si>
  <si>
    <t>https://flowingdata.com/feed</t>
  </si>
  <si>
    <t>https://flowingdata.com/</t>
  </si>
  <si>
    <t>Fonts In Use - All</t>
  </si>
  <si>
    <t>https://feeds.feedburner.com/FontsInUseAll</t>
  </si>
  <si>
    <t>https://fontsinuse.com/</t>
  </si>
  <si>
    <t>Fonts In Use - Blog</t>
  </si>
  <si>
    <t>https://feeds.feedburner.com/FontsInUse</t>
  </si>
  <si>
    <t>Foreign Affairs</t>
  </si>
  <si>
    <t>https://www.foreignaffairs.com/</t>
  </si>
  <si>
    <t>Freddie Deboer</t>
  </si>
  <si>
    <t>https://freddiedeboer.substack.com/feed</t>
  </si>
  <si>
    <t>Freecode camp</t>
  </si>
  <si>
    <t>http://fetchrss.com/rss/63e4e4830f32204f7f522ad263eeb23f49813932330883a3.xml</t>
  </si>
  <si>
    <t>https://www.freecodecamp.org/</t>
  </si>
  <si>
    <t>Freethink - AI</t>
  </si>
  <si>
    <t>http://fetchrss.com/rss/63e4e4830f32204f7f522ad263ea01bd7922145cd06401c3.xml</t>
  </si>
  <si>
    <t>Freethink - AR</t>
  </si>
  <si>
    <t>http://fetchrss.com/rss/63e4e4830f32204f7f522ad263ea02182ffdcc15c06708c3.xml</t>
  </si>
  <si>
    <t>Freethink - Cities</t>
  </si>
  <si>
    <t>http://fetchrss.com/rss/63e4e4830f32204f7f522ad263ea00d9efed8d4c80404d42.xml</t>
  </si>
  <si>
    <t>Freethink - Consumer Tech</t>
  </si>
  <si>
    <t>http://fetchrss.com/rss/63e4e4830f32204f7f522ad263ea01749cfe522ec9415812.xml</t>
  </si>
  <si>
    <t>Freethink - Energy</t>
  </si>
  <si>
    <t>http://fetchrss.com/rss/63e4e4830f32204f7f522ad263ea013405597a3e7c3de692.xml</t>
  </si>
  <si>
    <t>Freethink - Future</t>
  </si>
  <si>
    <t>http://fetchrss.com/rss/63e4e4830f32204f7f522ad263ea019d9cf7c15da645ffc2.xml</t>
  </si>
  <si>
    <t>Freethink - Hard Tech</t>
  </si>
  <si>
    <t>http://fetchrss.com/rss/63e4e4830f32204f7f522ad263ea01e2c23e263bb46e2a42.xml</t>
  </si>
  <si>
    <t>Freethink - Health</t>
  </si>
  <si>
    <t>http://fetchrss.com/rss/63e4e4830f32204f7f522ad263ea01fc44b08b5c737b0803.xml</t>
  </si>
  <si>
    <t>Freethink - Internet</t>
  </si>
  <si>
    <t>http://fetchrss.com/rss/63e4e4830f32204f7f522ad263ea0152fc0716504e347d72.xml</t>
  </si>
  <si>
    <t>Freethink - Society</t>
  </si>
  <si>
    <t>http://fetchrss.com/rss/63e4e4830f32204f7f522ad263ea024fb1bbb33918345792.xml</t>
  </si>
  <si>
    <t>Freethink - Space</t>
  </si>
  <si>
    <t>http://fetchrss.com/rss/63e4e4830f32204f7f522ad263e93c01790db9258a0e5662.xml</t>
  </si>
  <si>
    <t>Freethink - Transportation</t>
  </si>
  <si>
    <t>http://fetchrss.com/rss/63e4e4830f32204f7f522ad263ea01092d1f09194861c452.xml</t>
  </si>
  <si>
    <t>Transportation</t>
  </si>
  <si>
    <t>Frieze</t>
  </si>
  <si>
    <t>http://fetchrss.com/rss/63e4e4830f32204f7f522ad263ee2fcb3fde064c745e0132.xml</t>
  </si>
  <si>
    <t>https://www.frieze.com/</t>
  </si>
  <si>
    <t>Frontiers - AI</t>
  </si>
  <si>
    <t>https://www.frontiersin.org/journals/artificial-intelligence/rss</t>
  </si>
  <si>
    <t>Frontiers - Big Data</t>
  </si>
  <si>
    <t>https://www.frontiersin.org/journals/big-data/rss</t>
  </si>
  <si>
    <t>Frontiers - Computer</t>
  </si>
  <si>
    <t>https://www.frontiersin.org/journals/computer-science/rss</t>
  </si>
  <si>
    <t>Frontiers - Conservation</t>
  </si>
  <si>
    <t>https://www.frontiersin.org/journals/climate/rss</t>
  </si>
  <si>
    <t>Frontiers - Conservation Science</t>
  </si>
  <si>
    <t>https://www.frontiersin.org/journals/conservation-science/rss</t>
  </si>
  <si>
    <t>Frontiers - Digital Health</t>
  </si>
  <si>
    <t>https://www.frontiersin.org/journals/digital-health/rss</t>
  </si>
  <si>
    <t>Frontiers - Enviro Science</t>
  </si>
  <si>
    <t>https://www.frontiersin.org/journals/environmental-science/rss</t>
  </si>
  <si>
    <t>Frontiers - Future Transportation</t>
  </si>
  <si>
    <t>https://www.frontiersin.org/journals/future-transportation/rss</t>
  </si>
  <si>
    <t>Frontiers - Psychiatry</t>
  </si>
  <si>
    <t>https://www.frontiersin.org/journals/psychiatry/rss</t>
  </si>
  <si>
    <t>Frontiers - Psychology</t>
  </si>
  <si>
    <t>https://www.frontiersin.org/journals/psychology/rss</t>
  </si>
  <si>
    <t>Frontiers - Robotics</t>
  </si>
  <si>
    <t>https://www.frontiersin.org/journals/robotics-and-ai/rss</t>
  </si>
  <si>
    <t>Frontiers - Space</t>
  </si>
  <si>
    <t>https://www.frontiersin.org/journals/astronomy-and-space-sciences/rss</t>
  </si>
  <si>
    <t>https://www.frontiersin.org/journals/space-technologies/rss</t>
  </si>
  <si>
    <t>Frontiers - VR</t>
  </si>
  <si>
    <t>https://www.frontiersin.org/journals/virtual-reality/rss</t>
  </si>
  <si>
    <t>Gallup</t>
  </si>
  <si>
    <t>https://www.gallup.com/</t>
  </si>
  <si>
    <t>Game Developer</t>
  </si>
  <si>
    <t>https://www.gamedeveloper.com/</t>
  </si>
  <si>
    <t>Game Informer</t>
  </si>
  <si>
    <t>https://www.gameinformer.com/</t>
  </si>
  <si>
    <t>Gen Eng News</t>
  </si>
  <si>
    <t>http://feeds.feedburner.com/GenGeneticEngineeringAndBiotechnologyNews</t>
  </si>
  <si>
    <t>https://www.genengnews.com/</t>
  </si>
  <si>
    <t>Gessato</t>
  </si>
  <si>
    <t>https://www.gessato.com/feed/</t>
  </si>
  <si>
    <t>Ginger Beard Man</t>
  </si>
  <si>
    <t>http://fetchrss.com/rss/63e4e4830f32204f7f522ad263efb359ce3fa671e03ee352.xml</t>
  </si>
  <si>
    <t>https://blog.gingerbeardman.com/</t>
  </si>
  <si>
    <t>Gizmodo</t>
  </si>
  <si>
    <t>https://gizmodo.com/</t>
  </si>
  <si>
    <t>Globe Newswire</t>
  </si>
  <si>
    <t>https://www.globenewswire.com/</t>
  </si>
  <si>
    <t>Greater Good</t>
  </si>
  <si>
    <t>https://greatergood.berkeley.edu/site/rss/articles</t>
  </si>
  <si>
    <t>https://greatergood.berkeley.edu/</t>
  </si>
  <si>
    <t>Grit Capital</t>
  </si>
  <si>
    <t>https://gritcapital.substack.com/</t>
  </si>
  <si>
    <t>Guide to AI</t>
  </si>
  <si>
    <t>https://nathanbenaich.substack.com/feed</t>
  </si>
  <si>
    <t>Guy Tal</t>
  </si>
  <si>
    <t>https://guytal.blog/feed/</t>
  </si>
  <si>
    <t>https://guytal.blog/</t>
  </si>
  <si>
    <t>Gzero World</t>
  </si>
  <si>
    <t>http://fetchrss.com/rss/63e4e4830f32204f7f522ad26405dd6108c84b3e1d650232.xml</t>
  </si>
  <si>
    <t>Hackaday</t>
  </si>
  <si>
    <t>https://hackaday.com/blog/feed/</t>
  </si>
  <si>
    <t>https://hackaday.com/</t>
  </si>
  <si>
    <t>Hakai Magazine</t>
  </si>
  <si>
    <t>https://hakaimagazine.com/feed/</t>
  </si>
  <si>
    <t>Harpers</t>
  </si>
  <si>
    <t>https://harpers.org/</t>
  </si>
  <si>
    <t>Harvard</t>
  </si>
  <si>
    <t>https://www.harvard.edu/</t>
  </si>
  <si>
    <t>Harvard Business Review</t>
  </si>
  <si>
    <t>https://hbr.org/</t>
  </si>
  <si>
    <t>Herb Sundays</t>
  </si>
  <si>
    <t>https://herbsundays.substack.com/feed</t>
  </si>
  <si>
    <t>High Scalability</t>
  </si>
  <si>
    <t>http://feeds.feedburner.com/HighScalability</t>
  </si>
  <si>
    <t>http://highscalability.com/</t>
  </si>
  <si>
    <t>Highsnobiety</t>
  </si>
  <si>
    <t>https://www.highsnobiety.com/</t>
  </si>
  <si>
    <t>History of women</t>
  </si>
  <si>
    <t>https://historyofwomen.substack.com/feed</t>
  </si>
  <si>
    <t>History.com - Day In History</t>
  </si>
  <si>
    <t>https://www.history.com/.rss/full/this-day-in-history</t>
  </si>
  <si>
    <t>https://www.history.com/</t>
  </si>
  <si>
    <t>History.com - Stories</t>
  </si>
  <si>
    <t>https://www.history.com/.rss/full/news</t>
  </si>
  <si>
    <t>History.com - Topics</t>
  </si>
  <si>
    <t>https://www.history.com/.rss/full/topics</t>
  </si>
  <si>
    <t>Honestly WTF</t>
  </si>
  <si>
    <t>http://fetchrss.com/rss/63e4e4830f32204f7f522ad263ef4df6b1438a58f31b8912.xml</t>
  </si>
  <si>
    <t>https://honestlywtf.com/</t>
  </si>
  <si>
    <t>Human Rights Watch</t>
  </si>
  <si>
    <t>https://www.hrw.org/</t>
  </si>
  <si>
    <t>Increment</t>
  </si>
  <si>
    <t>https://increment.com/feed.xml</t>
  </si>
  <si>
    <t>https://increment.com/</t>
  </si>
  <si>
    <t>Indie games plus</t>
  </si>
  <si>
    <t>https://indiegamesplus.com/</t>
  </si>
  <si>
    <t>Indie Wire</t>
  </si>
  <si>
    <t>https://www.indiewire.com/</t>
  </si>
  <si>
    <t>Infrequently Org</t>
  </si>
  <si>
    <t>https://infrequently.org/feed/</t>
  </si>
  <si>
    <t>Insider intelligence</t>
  </si>
  <si>
    <t>https://www.insiderintelligence.com/</t>
  </si>
  <si>
    <t>Instapundit</t>
  </si>
  <si>
    <t>https://instapundit.substack.com/feed</t>
  </si>
  <si>
    <t>Institutional Investors</t>
  </si>
  <si>
    <t>https://www.institutionalinvestor.com/rss.xml#</t>
  </si>
  <si>
    <t>International Encyclopedia of First World War</t>
  </si>
  <si>
    <t>https://encyclopedia.1914-1918-online.net/rss/new-articles.xml</t>
  </si>
  <si>
    <t>https://encyclopedia.1914-1918-online.net/</t>
  </si>
  <si>
    <t>Internet Encyclopedia of Philosophy</t>
  </si>
  <si>
    <t>https://iep.utm.edu/feed/</t>
  </si>
  <si>
    <t>https://iep.utm.edu/</t>
  </si>
  <si>
    <t>Investigate west</t>
  </si>
  <si>
    <t>https://www.invw.org/feed/</t>
  </si>
  <si>
    <t>Irrational exuberance</t>
  </si>
  <si>
    <t>https://lethain.com/feeds.xml</t>
  </si>
  <si>
    <t>It can always get worse</t>
  </si>
  <si>
    <t>https://kyleorton.substack.com/feed</t>
  </si>
  <si>
    <t>Its Nice That</t>
  </si>
  <si>
    <t>https://www.itsnicethat.com/</t>
  </si>
  <si>
    <t>Jaime Brooks</t>
  </si>
  <si>
    <t>https://jaimebrooks.substack.com/feed</t>
  </si>
  <si>
    <t>Jama Network</t>
  </si>
  <si>
    <t>https://jamanetwork.com/</t>
  </si>
  <si>
    <t>Japan Camera Hunter</t>
  </si>
  <si>
    <t>https://www.japancamerahunter.com/</t>
  </si>
  <si>
    <t>Jesper Juul</t>
  </si>
  <si>
    <t>https://www.jesperjuul.net/ludologist/feed/</t>
  </si>
  <si>
    <t>http://www.jesperjuul.net/</t>
  </si>
  <si>
    <t>Jim Nielsen Blog</t>
  </si>
  <si>
    <t>https://blog.jim-nielsen.com/feed.xml</t>
  </si>
  <si>
    <t>https://blog.jim-nielsen.com/</t>
  </si>
  <si>
    <t>Joathan Rosenbaum</t>
  </si>
  <si>
    <t>https://jonathanrosenbaum.net/feed/</t>
  </si>
  <si>
    <t>https://jonathanrosenbaum.net/</t>
  </si>
  <si>
    <t>Joel on Software</t>
  </si>
  <si>
    <t>https://www.joelonsoftware.com/feed/</t>
  </si>
  <si>
    <t>https://www.joelonsoftware.com/</t>
  </si>
  <si>
    <t>Jon Strokes</t>
  </si>
  <si>
    <t>https://www.jonstokes.com/</t>
  </si>
  <si>
    <t>Just cabbage things</t>
  </si>
  <si>
    <t>https://chiyoungkim.substack.com/feed</t>
  </si>
  <si>
    <t>Juxtapoz</t>
  </si>
  <si>
    <t>juxtapoz.com/news/?format=fe..</t>
  </si>
  <si>
    <t>Kotaku</t>
  </si>
  <si>
    <t>https://kotaku.com/</t>
  </si>
  <si>
    <t>L'Officiel USA</t>
  </si>
  <si>
    <t>http://fetchrss.com/rss/63e4e4830f32204f7f522ad263eeac75651558008e3693e2.xml</t>
  </si>
  <si>
    <t>https://www.lofficielusa.com/</t>
  </si>
  <si>
    <t>La Brieff</t>
  </si>
  <si>
    <t>https://ruthreichl.substack.com/feed</t>
  </si>
  <si>
    <t>Lab Roots</t>
  </si>
  <si>
    <t>http://fetchrss.com/rss/63e4e4830f32204f7f522ad263ef4846322b0b67531cbb92.xml</t>
  </si>
  <si>
    <t>https://www.labroots.com/</t>
  </si>
  <si>
    <t>Language Log</t>
  </si>
  <si>
    <t>https://languagelog.ldc.upenn.edu/nll/?feed=rss2</t>
  </si>
  <si>
    <t>https://languagelog.ldc.upenn.edu/</t>
  </si>
  <si>
    <t>Laphams Quarterly</t>
  </si>
  <si>
    <t>https://www.laphamsquarterly.org/</t>
  </si>
  <si>
    <t>Leiden Medivalists Blog</t>
  </si>
  <si>
    <t>https://www.leidenmedievalistsblog.nl/feed</t>
  </si>
  <si>
    <t>https://www.leidenmedievalistsblog.nl/</t>
  </si>
  <si>
    <t>Lesswrong</t>
  </si>
  <si>
    <t>https://www.lesswrong.com/</t>
  </si>
  <si>
    <t>Letters of Note</t>
  </si>
  <si>
    <t>https://lettersofnote.com/feed/</t>
  </si>
  <si>
    <t>https://lettersofnote.com/</t>
  </si>
  <si>
    <t>Library of Congress - Manuscripts</t>
  </si>
  <si>
    <t>http://fetchrss.com/rss/63e4e4830f32204f7f522ad263e7894d30afee3e1c4b4ec2.xml</t>
  </si>
  <si>
    <t>Library of Congress - Blog</t>
  </si>
  <si>
    <t>http://fetchrss.com/rss/63e4e4830f32204f7f522ad263e644bac746f00f571d0b92.xml</t>
  </si>
  <si>
    <t>Library of Congress - Inside Adam</t>
  </si>
  <si>
    <t>http://fetchrss.com/rss/63e4e4830f32204f7f522ad263e6447d859ab943a86180d3.xml</t>
  </si>
  <si>
    <t>Library of Congress - International Collections</t>
  </si>
  <si>
    <t>http://fetchrss.com/rss/63e4e4830f32204f7f522ad263e6466be068a67b8103f3c2.xml</t>
  </si>
  <si>
    <t>Library of Congress - Law</t>
  </si>
  <si>
    <t>http://fetchrss.com/rss/63e4e4830f32204f7f522ad263e645f600a63c4b527c2ac2.xml</t>
  </si>
  <si>
    <t>Library of Congress - Maps</t>
  </si>
  <si>
    <t>http://fetchrss.com/rss/63e4e4830f32204f7f522ad263e788928c6eb84ff15949f2.xml</t>
  </si>
  <si>
    <t>Library of Congress - Music</t>
  </si>
  <si>
    <t>http://fetchrss.com/rss/63e4e4830f32204f7f522ad263e789070a661858f95a8e42.xml</t>
  </si>
  <si>
    <t>Library of Congress - Performing Arts</t>
  </si>
  <si>
    <t>http://fetchrss.com/rss/63e4e4830f32204f7f522ad263e645a0944a8c3cac31c242.xml</t>
  </si>
  <si>
    <t>Library of Congress - Poetry</t>
  </si>
  <si>
    <t>http://fetchrss.com/rss/63e4e4830f32204f7f522ad263e788dbfee16044c82620d3.xml</t>
  </si>
  <si>
    <t>Library of Scrolls</t>
  </si>
  <si>
    <t>http://fetchrss.com/rss/63e4e4830f32204f7f522ad263ff51c986ec4d207965dc42.xml</t>
  </si>
  <si>
    <t>Life of an architect</t>
  </si>
  <si>
    <t>https://www.lifeofanarchitect.com/feed/podcast/</t>
  </si>
  <si>
    <t>https://www.lifeofanarchitect.com/</t>
  </si>
  <si>
    <t>Little White Lies</t>
  </si>
  <si>
    <t>lwlies.com/feed</t>
  </si>
  <si>
    <t>Logo Design Love</t>
  </si>
  <si>
    <t>https://www.logodesignlove.com/feed</t>
  </si>
  <si>
    <t>https://www.davidairey.com/</t>
  </si>
  <si>
    <t>Long reads</t>
  </si>
  <si>
    <t>https://longreads.com/</t>
  </si>
  <si>
    <t>Luke Plant</t>
  </si>
  <si>
    <t>https://lukeplant.me.uk/blog/atom/index.xml</t>
  </si>
  <si>
    <t>https://lukeplant.me.uk/</t>
  </si>
  <si>
    <t>Macrovisor</t>
  </si>
  <si>
    <t>https://www.macrovisor.com/feed</t>
  </si>
  <si>
    <t>https://www.macrovisor.com/</t>
  </si>
  <si>
    <t>Macs motor city garage</t>
  </si>
  <si>
    <t>https://macsmotorcitygarage.com/feed/</t>
  </si>
  <si>
    <t>https://macsmotorcitygarage.com/</t>
  </si>
  <si>
    <t>Marginal Carbon</t>
  </si>
  <si>
    <t>https://marginalcarbon.substack.com/feed</t>
  </si>
  <si>
    <t>Marginalian</t>
  </si>
  <si>
    <t>https://www.themarginalian.org/</t>
  </si>
  <si>
    <t>Marketing Dive</t>
  </si>
  <si>
    <t>https://www.marketingdive.com/feeds/news/</t>
  </si>
  <si>
    <t>https://www.marketingdive.com/</t>
  </si>
  <si>
    <t>Marketing Tech</t>
  </si>
  <si>
    <t>https://martech.org/</t>
  </si>
  <si>
    <t>Martin Fowler Blog</t>
  </si>
  <si>
    <t>https://martinfowler.com/feed.atom</t>
  </si>
  <si>
    <t>https://martinfowler.com/</t>
  </si>
  <si>
    <t>Mayo Clinic News</t>
  </si>
  <si>
    <t>https://www.mayoclinic.org/rss/all-news</t>
  </si>
  <si>
    <t>https://newsnetwork.mayoclinic.org/</t>
  </si>
  <si>
    <t>McKinsey</t>
  </si>
  <si>
    <t>https://www.mckinsey.com/</t>
  </si>
  <si>
    <t>Memory Safety Blog</t>
  </si>
  <si>
    <t>https://www.memorysafety.org/index.xml</t>
  </si>
  <si>
    <t>https://www.memorysafety.org/</t>
  </si>
  <si>
    <t>Michael Green</t>
  </si>
  <si>
    <t>https://michaelwgreen.substack.com/feed</t>
  </si>
  <si>
    <t>Mick Betancourt</t>
  </si>
  <si>
    <t>https://mickbetancourt.substack.com/feed</t>
  </si>
  <si>
    <t>Milkyeggs</t>
  </si>
  <si>
    <t>https://milkyeggs.com/feed/</t>
  </si>
  <si>
    <t>https://milkyeggs.com/</t>
  </si>
  <si>
    <t>Misfits Architecture</t>
  </si>
  <si>
    <t>https://misfitsarchitecture.com/feed/</t>
  </si>
  <si>
    <t>https://misfitsarchitecture.com/</t>
  </si>
  <si>
    <t>MIT News</t>
  </si>
  <si>
    <t>http://fetchrss.com/rss/63e4e4830f32204f7f522ad263e63dd0ea45d02cdc613c52.xml</t>
  </si>
  <si>
    <t>MIT Press Reader - Culture</t>
  </si>
  <si>
    <t>http://fetchrss.com/rss/63e4e4830f32204f7f522ad263e7a305153bcc476a4cd422.xml</t>
  </si>
  <si>
    <t>MIT Press Reader - Econ</t>
  </si>
  <si>
    <t>http://fetchrss.com/rss/63e4e4830f32204f7f522ad263e7a35017d3c73c58093962.xml</t>
  </si>
  <si>
    <t>MIT Press Reader - Media</t>
  </si>
  <si>
    <t>http://fetchrss.com/rss/63e4e4830f32204f7f522ad263e7a330d04d1826e3131b33.xml</t>
  </si>
  <si>
    <t>MIT Press Reader - Philosophy</t>
  </si>
  <si>
    <t>http://fetchrss.com/rss/63e4e4830f32204f7f522ad263e7a36efcf3135cad179872.xml</t>
  </si>
  <si>
    <t>MIT Press Reader - Science</t>
  </si>
  <si>
    <t>http://fetchrss.com/rss/63e4e4830f32204f7f522ad263e7a2d5cf716640b07e4503.xml</t>
  </si>
  <si>
    <t>MIT Tech Review</t>
  </si>
  <si>
    <t>https://www.technologyreview.com/</t>
  </si>
  <si>
    <t>Monga Bay</t>
  </si>
  <si>
    <t>https://news.mongabay.com/feed/</t>
  </si>
  <si>
    <t>https://www.mongabay.com/</t>
  </si>
  <si>
    <t>Morningbrew</t>
  </si>
  <si>
    <t>https://www.morningbrew.com/</t>
  </si>
  <si>
    <t>Motor Trends</t>
  </si>
  <si>
    <t>https://www.motortrend.com/</t>
  </si>
  <si>
    <t>Movies Film and Flix</t>
  </si>
  <si>
    <t>https://moviesfilmsandflix.com/feed/</t>
  </si>
  <si>
    <t>https://moviesfilmsandflix.com/</t>
  </si>
  <si>
    <t>Moz Blog</t>
  </si>
  <si>
    <t>https://moz.com/posts/rss/blog</t>
  </si>
  <si>
    <t>https://moz.com/blog</t>
  </si>
  <si>
    <t>Mubi Notebook</t>
  </si>
  <si>
    <t>https://mubi.com/</t>
  </si>
  <si>
    <t>Nasa</t>
  </si>
  <si>
    <t>https://www.nasa.gov/rss/dyn/breaking_news.rss</t>
  </si>
  <si>
    <t>https://www.nasa.gov/</t>
  </si>
  <si>
    <t>Nasa Space Flight</t>
  </si>
  <si>
    <t>http://fetchrss.com/rss/63e4e4830f32204f7f522ad263efb4592f8b02188a739152.xml</t>
  </si>
  <si>
    <t>https://www.nasaspaceflight.com/</t>
  </si>
  <si>
    <t>Nature</t>
  </si>
  <si>
    <t>https://www.nature.com/</t>
  </si>
  <si>
    <t>Nautilus - Anthropology</t>
  </si>
  <si>
    <t>http://fetchrss.com/rss/63e4e4830f32204f7f522ad263e4f5624fe02c32dd21c8d2.xml</t>
  </si>
  <si>
    <t>Nautilus - Art</t>
  </si>
  <si>
    <t>http://fetchrss.com/rss/63e4e4830f32204f7f522ad263e4f5e816d1ed1e7d24dd12.xml</t>
  </si>
  <si>
    <t>Nautilus - Astrology</t>
  </si>
  <si>
    <t>http://fetchrss.com/rss/63e4e4830f32204f7f522ad263e4f639e21c8974d5371bb2.xml</t>
  </si>
  <si>
    <t>Nautilus - Communication</t>
  </si>
  <si>
    <t>http://fetchrss.com/rss/63e4e4830f32204f7f522ad263e4f67ee3305414c96fdd42.xml</t>
  </si>
  <si>
    <t>Nautilus - Economics</t>
  </si>
  <si>
    <t>http://fetchrss.com/rss/63e4e4830f32204f7f522ad263e4f6c492d17f63334c06e2.xml</t>
  </si>
  <si>
    <t>Nautilus - Environment</t>
  </si>
  <si>
    <t>http://fetchrss.com/rss/63e4e4830f32204f7f522ad263e4f6ea4ef4de3ae0406fa2.xml</t>
  </si>
  <si>
    <t>Nautilus - Evolution</t>
  </si>
  <si>
    <t>http://fetchrss.com/rss/63e4e4830f32204f7f522ad263e4f71bd3150b2207429be2.xml</t>
  </si>
  <si>
    <t>Nautilus - Genetics</t>
  </si>
  <si>
    <t>http://fetchrss.com/rss/63e4e4830f32204f7f522ad263e4f8ad98717313641f34b2.xml</t>
  </si>
  <si>
    <t>Nautilus - Geoscience</t>
  </si>
  <si>
    <t>http://fetchrss.com/rss/63e4e4830f32204f7f522ad263e4f8d9262361773053bef2.xml</t>
  </si>
  <si>
    <t>Nautilus - Health</t>
  </si>
  <si>
    <t>http://fetchrss.com/rss/63e4e4830f32204f7f522ad263e4f9158c336a44de17abb2.xml</t>
  </si>
  <si>
    <t>Nautilus - History</t>
  </si>
  <si>
    <t>http://fetchrss.com/rss/63e4e4830f32204f7f522ad263e4f96a4edfaa31ec6e4062.xml</t>
  </si>
  <si>
    <t>Nautilus - Math</t>
  </si>
  <si>
    <t>http://fetchrss.com/rss/63e4e4830f32204f7f522ad263e4f994d250b977cb0d1d12.xml</t>
  </si>
  <si>
    <t>Nautilus - Microbiology</t>
  </si>
  <si>
    <t>http://fetchrss.com/rss/63e4e4830f32204f7f522ad263e4f9bd0ce8af1f71000242.xml</t>
  </si>
  <si>
    <t>Nautilus - Neuroscience</t>
  </si>
  <si>
    <t>http://fetchrss.com/rss/63e4e4830f32204f7f522ad263e4fa06a277910d055c1002.xml</t>
  </si>
  <si>
    <t>Nautilus - Palentology</t>
  </si>
  <si>
    <t>http://fetchrss.com/rss/63e4e4830f32204f7f522ad263e4fa304f01247aed33ff33.xml</t>
  </si>
  <si>
    <t>Nautilus - Philosophy</t>
  </si>
  <si>
    <t>http://fetchrss.com/rss/63e4e4830f32204f7f522ad263e4fa534ab7b54b490d2342.xml</t>
  </si>
  <si>
    <t>Nautilus - Physics</t>
  </si>
  <si>
    <t>http://fetchrss.com/rss/63e4e4830f32204f7f522ad263e4fa7f915c396759375c72.xml</t>
  </si>
  <si>
    <t>Nautilus - Psychology</t>
  </si>
  <si>
    <t>http://fetchrss.com/rss/63e4e4830f32204f7f522ad263e4faac15251367d973c1c2.xml</t>
  </si>
  <si>
    <t>Nautilus - Sociology</t>
  </si>
  <si>
    <t>http://fetchrss.com/rss/63e4e4830f32204f7f522ad263e4fad6c6b34c009b7770f2.xml</t>
  </si>
  <si>
    <t>Nautilus - Technology</t>
  </si>
  <si>
    <t>http://fetchrss.com/rss/63e4e4830f32204f7f522ad263e4fb3187d47614727cec62.xml</t>
  </si>
  <si>
    <t>Nautilus - Zoology</t>
  </si>
  <si>
    <t>http://fetchrss.com/rss/63e4e4830f32204f7f522ad263e4fb735ed94c1f1d784892.xml</t>
  </si>
  <si>
    <t>NBER</t>
  </si>
  <si>
    <t>http://www.nber.org/rss/new.xml</t>
  </si>
  <si>
    <t>https://www.nber.org/</t>
  </si>
  <si>
    <t>NEH Humanities</t>
  </si>
  <si>
    <t>http://fetchrss.com/rss/63e4e4830f32204f7f522ad263efc4646a81fe17603d19c2.xml</t>
  </si>
  <si>
    <t>https://www.neh.gov/</t>
  </si>
  <si>
    <t>Neilvn</t>
  </si>
  <si>
    <t>http://feeds.feedburner.com/tangentsblog</t>
  </si>
  <si>
    <t>http://neilvn.com/</t>
  </si>
  <si>
    <t>Nemets</t>
  </si>
  <si>
    <t>https://nemets.substack.com/feed</t>
  </si>
  <si>
    <t>Newsapp blog</t>
  </si>
  <si>
    <t>https://www.newappsblog.com/atom.xml</t>
  </si>
  <si>
    <t>https://www.newappsblog.com/</t>
  </si>
  <si>
    <t>Newsline Mag</t>
  </si>
  <si>
    <t>http://fetchrss.com/rss/63e4e4830f32204f7f522ad263efc10f5cbf0341f5122262.xml</t>
  </si>
  <si>
    <t>https://newlinesmag.com/</t>
  </si>
  <si>
    <t>Newyorker</t>
  </si>
  <si>
    <t>https://www.newyorker.com/</t>
  </si>
  <si>
    <t>Nidha News</t>
  </si>
  <si>
    <t>http://fetchrss.com/rss/63e4e4830f32204f7f522ad263eead3c1336405b0b55c464.xml</t>
  </si>
  <si>
    <t>https://nida.nih.gov/</t>
  </si>
  <si>
    <t>NIH</t>
  </si>
  <si>
    <t>https://www.nih.gov/news-releases/feed.xml</t>
  </si>
  <si>
    <t>https://www.nih.gov/</t>
  </si>
  <si>
    <t>http://fetchrss.com/rss/63e4e4830f32204f7f522ad263f49dba34443511d5673cb2.xml</t>
  </si>
  <si>
    <t>Noahpinion</t>
  </si>
  <si>
    <t>https://noahpinion.substack.com/feed</t>
  </si>
  <si>
    <t>Noema - Digital Society</t>
  </si>
  <si>
    <t>https://www.noemamag.com/article-topic/digital-society/</t>
  </si>
  <si>
    <t>Noema - Environment</t>
  </si>
  <si>
    <t>https://www.noemamag.com/article-topic/climate-crisis/feed/</t>
  </si>
  <si>
    <t>Noema - Future of Capitalism</t>
  </si>
  <si>
    <t>https://www.noemamag.com/article-topic/future-of-capitalism/</t>
  </si>
  <si>
    <t>Noema - General</t>
  </si>
  <si>
    <t>https://www.noemamag.com/feed/</t>
  </si>
  <si>
    <t>Noema - Tech</t>
  </si>
  <si>
    <t>https://www.noemamag.com/article-topic/technology-and-the-human/feed/</t>
  </si>
  <si>
    <t>Northwestern - Arts</t>
  </si>
  <si>
    <t>http://fetchrss.com/rss/63e4e4830f32204f7f522ad263e791ac80394507c466e0f3.xml</t>
  </si>
  <si>
    <t>Northwestern - Medicine</t>
  </si>
  <si>
    <t>http://fetchrss.com/rss/63e4e4830f32204f7f522ad263e791fadb568b225d0dc103.xml</t>
  </si>
  <si>
    <t>Northwestern - Science</t>
  </si>
  <si>
    <t>http://fetchrss.com/rss/63e4e4830f32204f7f522ad263e791d080394507c466e0f4.xml</t>
  </si>
  <si>
    <t>Notboring</t>
  </si>
  <si>
    <t>https://www.notboring.co/feed</t>
  </si>
  <si>
    <t>NPR - Art</t>
  </si>
  <si>
    <t>http://fetchrss.com/rss/63e4e4830f32204f7f522ad263e6197e998a02783335c092.xml</t>
  </si>
  <si>
    <t>NPR - Books</t>
  </si>
  <si>
    <t>http://fetchrss.com/rss/63e4e4830f32204f7f522ad263e619139d7746691e130f24.xml</t>
  </si>
  <si>
    <t>NPR - Business</t>
  </si>
  <si>
    <t>http://fetchrss.com/rss/63e4e4830f32204f7f522ad263e618b724a77e6ab92f0ff2.xml</t>
  </si>
  <si>
    <t>NPR - Climate</t>
  </si>
  <si>
    <t>http://fetchrss.com/rss/63e4e4830f32204f7f522ad263e61c33c0e3c13cca37f102.xml</t>
  </si>
  <si>
    <t>NPR - Economy</t>
  </si>
  <si>
    <t>http://fetchrss.com/rss/63e4e4830f32204f7f522ad263e618855bb08374a0395d23.xml</t>
  </si>
  <si>
    <t>NPR - Energy</t>
  </si>
  <si>
    <t>http://fetchrss.com/rss/63e4e4830f32204f7f522ad263e61c0c73cb146f4e7be8b2.xml</t>
  </si>
  <si>
    <t>NPR - Environment</t>
  </si>
  <si>
    <t>http://fetchrss.com/rss/63e4e4830f32204f7f522ad263e61b4156ed154f54721602.xml</t>
  </si>
  <si>
    <t>NPR - Food</t>
  </si>
  <si>
    <t>http://fetchrss.com/rss/63e4e4830f32204f7f522ad263e61937230c383740592282.xml</t>
  </si>
  <si>
    <t>NPR - Health</t>
  </si>
  <si>
    <t>http://fetchrss.com/rss/63e4e4830f32204f7f522ad263e61b7194c73a44e7315423.xml</t>
  </si>
  <si>
    <t>NPR - Movies</t>
  </si>
  <si>
    <t>http://fetchrss.com/rss/63e4e4830f32204f7f522ad263e61958c96d5738f27d4692.xml</t>
  </si>
  <si>
    <t>NPR - Music</t>
  </si>
  <si>
    <t>http://fetchrss.com/rss/63e4e4830f32204f7f522ad263e619d850f36870d3405f52.xml</t>
  </si>
  <si>
    <t>NPR - Space</t>
  </si>
  <si>
    <t>NPR - Technology</t>
  </si>
  <si>
    <t>http://fetchrss.com/rss/63e4e4830f32204f7f522ad263e618f2d19caf2aca75d9b2.xml</t>
  </si>
  <si>
    <t>NYT - Advertising</t>
  </si>
  <si>
    <t>https://rss.nytimes.com/services/xml/rss/nyt/MediaandAdvertising.xml</t>
  </si>
  <si>
    <t>NYT - Arts</t>
  </si>
  <si>
    <t>https://rss.nytimes.com/services/xml/rss/nyt/Arts.xml</t>
  </si>
  <si>
    <t>NYT - Books</t>
  </si>
  <si>
    <t>https://rss.nytimes.com/services/xml/rss/nyt/Books.xml</t>
  </si>
  <si>
    <t>NYT - Business</t>
  </si>
  <si>
    <t>https://rss.nytimes.com/services/xml/rss/nyt/Business.xml</t>
  </si>
  <si>
    <t>NYT - Dance</t>
  </si>
  <si>
    <t>https://rss.nytimes.com/services/xml/rss/nyt/Dance.xml</t>
  </si>
  <si>
    <t>NYT - Deal Book</t>
  </si>
  <si>
    <t>https://rss.nytimes.com/services/xml/rss/nyt/Dealbook.xml</t>
  </si>
  <si>
    <t>NYT - Design</t>
  </si>
  <si>
    <t>https://rss.nytimes.com/services/xml/rss/nyt/ArtandDesign.xml</t>
  </si>
  <si>
    <t>NYT - Dining</t>
  </si>
  <si>
    <t>https://rss.nytimes.com/services/xml/rss/nyt/DiningandWine.xml</t>
  </si>
  <si>
    <t>NYT - Economy</t>
  </si>
  <si>
    <t>https://rss.nytimes.com/services/xml/rss/nyt/Economy.xml</t>
  </si>
  <si>
    <t>NYT - Energy</t>
  </si>
  <si>
    <t>https://rss.nytimes.com/services/xml/rss/nyt/EnergyEnvironment.xml</t>
  </si>
  <si>
    <t>NYT - Environment</t>
  </si>
  <si>
    <t>https://rss.nytimes.com/services/xml/rss/nyt/Climate.xml</t>
  </si>
  <si>
    <t>NYT - Fashion</t>
  </si>
  <si>
    <t>https://rss.nytimes.com/services/xml/rss/nyt/FashionandStyle.xml</t>
  </si>
  <si>
    <t>NYT - Health</t>
  </si>
  <si>
    <t>https://rss.nytimes.com/services/xml/rss/nyt/Health.xml</t>
  </si>
  <si>
    <t>NYT - Movies</t>
  </si>
  <si>
    <t>https://rss.nytimes.com/services/xml/rss/nyt/Movies.xml</t>
  </si>
  <si>
    <t>NYT - Music</t>
  </si>
  <si>
    <t>https://rss.nytimes.com/services/xml/rss/nyt/Music.xml</t>
  </si>
  <si>
    <t>NYT - Personal Tech</t>
  </si>
  <si>
    <t>https://rss.nytimes.com/services/xml/rss/nyt/PersonalTech.xml</t>
  </si>
  <si>
    <t>NYT - Science</t>
  </si>
  <si>
    <t>https://rss.nytimes.com/services/xml/rss/nyt/Science.xml</t>
  </si>
  <si>
    <t>NYT - Small Businesses</t>
  </si>
  <si>
    <t>https://rss.nytimes.com/services/xml/rss/nyt/SmallBusiness.xml</t>
  </si>
  <si>
    <t>NYT - Space</t>
  </si>
  <si>
    <t>https://rss.nytimes.com/services/xml/rss/nyt/Space.xml</t>
  </si>
  <si>
    <t>NYT - Technology</t>
  </si>
  <si>
    <t>NYT - Television</t>
  </si>
  <si>
    <t>https://rss.nytimes.com/services/xml/rss/nyt/Television.xml</t>
  </si>
  <si>
    <t>Flim</t>
  </si>
  <si>
    <t>NYT - Theatre</t>
  </si>
  <si>
    <t>https://rss.nytimes.com/services/xml/rss/nyt/Theater.xml</t>
  </si>
  <si>
    <t>NYT - Well Blog</t>
  </si>
  <si>
    <t>https://rss.nytimes.com/services/xml/rss/nyt/Well.xml</t>
  </si>
  <si>
    <t>NYT - World</t>
  </si>
  <si>
    <t>https://rss.nytimes.com/services/xml/rss/nyt/World.xml</t>
  </si>
  <si>
    <t>World</t>
  </si>
  <si>
    <t>One Useful Thing</t>
  </si>
  <si>
    <t>https://oneusefulthing.substack.com/feed</t>
  </si>
  <si>
    <t>Overcoming Bias</t>
  </si>
  <si>
    <t>https://www.overcomingbias.com/feed</t>
  </si>
  <si>
    <t>https://www.overcomingbias.com/</t>
  </si>
  <si>
    <t>Palladium Mag</t>
  </si>
  <si>
    <t>https://www.palladiummag.com/feed/index.xml</t>
  </si>
  <si>
    <t>Past Present Future</t>
  </si>
  <si>
    <t>https://dgardner.substack.com/feed</t>
  </si>
  <si>
    <t>Paul Graham Blog</t>
  </si>
  <si>
    <t>http://www.aaronsw.com/2002/feeds/pgessays.rss</t>
  </si>
  <si>
    <t>http://paulgraham.com/</t>
  </si>
  <si>
    <t>PC Mag</t>
  </si>
  <si>
    <t>https://www.pcmag.com/</t>
  </si>
  <si>
    <t>PC World</t>
  </si>
  <si>
    <t>https://www.pcworld.com/</t>
  </si>
  <si>
    <t>Pentagram</t>
  </si>
  <si>
    <t>http://fetchrss.com/rss/63e4e4830f32204f7f522ad263ef4e78c6230124a347d7d2.xml</t>
  </si>
  <si>
    <t>https://www.pentagram.com/</t>
  </si>
  <si>
    <t>Peta Pixel</t>
  </si>
  <si>
    <t>https://petapixel.com/feed/</t>
  </si>
  <si>
    <t>https://petapixel.com/</t>
  </si>
  <si>
    <t>Pete Droge</t>
  </si>
  <si>
    <t>https://petedroge.substack.com/feed</t>
  </si>
  <si>
    <t>Peterson Institute for International Economics</t>
  </si>
  <si>
    <t>https://www.piie.com/rss/update.xml</t>
  </si>
  <si>
    <t>https://www.piie.com/</t>
  </si>
  <si>
    <t>Philosophers Mag</t>
  </si>
  <si>
    <t>https://www.philosophersmag.com/</t>
  </si>
  <si>
    <t>Philosophy Now</t>
  </si>
  <si>
    <t>https://philosophynow.org/rss</t>
  </si>
  <si>
    <t>https://philosophynow.org/</t>
  </si>
  <si>
    <t>Phoronix</t>
  </si>
  <si>
    <t>https://www.phoronix.com/</t>
  </si>
  <si>
    <t>Photofocus</t>
  </si>
  <si>
    <t>feeds.feedburner.com/Photofo..</t>
  </si>
  <si>
    <t>Phys Org</t>
  </si>
  <si>
    <t>https://phys.org/</t>
  </si>
  <si>
    <t>Physics Today</t>
  </si>
  <si>
    <t>https://physicstoday.scitation.org/feed/most-recent</t>
  </si>
  <si>
    <t>https://physicstoday.scitation.org/</t>
  </si>
  <si>
    <t>Pirate wires</t>
  </si>
  <si>
    <t>https://www.piratewires.com/feed</t>
  </si>
  <si>
    <t>https://www.piratewires.com/</t>
  </si>
  <si>
    <t>Pitchfork</t>
  </si>
  <si>
    <t>https://pitchfork.com/</t>
  </si>
  <si>
    <t>Plain Magazine</t>
  </si>
  <si>
    <t>https://plainmagazine.com/feed/</t>
  </si>
  <si>
    <t>Planet Planet</t>
  </si>
  <si>
    <t>https://planetplanet.net/feed/</t>
  </si>
  <si>
    <t>https://planetplanet.net/</t>
  </si>
  <si>
    <t>Plos - Biology</t>
  </si>
  <si>
    <t>https://journals.plos.org/plosbiology/feed/atom</t>
  </si>
  <si>
    <t>Plos - Climate</t>
  </si>
  <si>
    <t>https://journals.plos.org/climate/feed/atom</t>
  </si>
  <si>
    <t>Plos - Computational Biology</t>
  </si>
  <si>
    <t>https://journals.plos.org/ploscompbiol/feed/atom</t>
  </si>
  <si>
    <t>Plos - Digital Health</t>
  </si>
  <si>
    <t>https://journals.plos.org/digitalhealth/feed/atom</t>
  </si>
  <si>
    <t>Plos - Diseases</t>
  </si>
  <si>
    <t>https://journals.plos.org/plosntds/feed/atom</t>
  </si>
  <si>
    <t>Plos - Genetics</t>
  </si>
  <si>
    <t>https://journals.plos.org/plosgenetics/feed/atom</t>
  </si>
  <si>
    <t>Plos - Global Health</t>
  </si>
  <si>
    <t>https://journals.plos.org/globalpublichealth/feed/atom</t>
  </si>
  <si>
    <t>Plos - Medicine</t>
  </si>
  <si>
    <t>https://journals.plos.org/plosmedicine/feed/atom</t>
  </si>
  <si>
    <t>Plos - One</t>
  </si>
  <si>
    <t>https://journals.plos.org/plosone/feed/atom</t>
  </si>
  <si>
    <t>Plos - Pathogens</t>
  </si>
  <si>
    <t>https://journals.plos.org/plospathogens/feed/atom</t>
  </si>
  <si>
    <t>Plos - Sustainability</t>
  </si>
  <si>
    <t>https://journals.plos.org/sustainabilitytransformation/feed/atom</t>
  </si>
  <si>
    <t>Plos - Water</t>
  </si>
  <si>
    <t>https://journals.plos.org/water/feed/atom</t>
  </si>
  <si>
    <t>PNAS</t>
  </si>
  <si>
    <t>https://www.pnas.org/action/showFeed?type=etoc&amp;feed=rss&amp;jc=PNAS</t>
  </si>
  <si>
    <t>https://www.pnas.org/</t>
  </si>
  <si>
    <t>Poetry Unbound</t>
  </si>
  <si>
    <t>https://poetryunbound.substack.com/feed</t>
  </si>
  <si>
    <t>Popular Mechanics</t>
  </si>
  <si>
    <t>https://www.popularmechanics.com/</t>
  </si>
  <si>
    <t>Popular Science - Biology</t>
  </si>
  <si>
    <t>http://fetchrss.com/rss/63e4e4830f32204f7f522ad263ee28178a2be949ab01e263.xml</t>
  </si>
  <si>
    <t>Popular Science - Cars</t>
  </si>
  <si>
    <t>http://fetchrss.com/rss/63e4e4830f32204f7f522ad263ee287728ff057c5721e683.xml</t>
  </si>
  <si>
    <t>Popular Science - Environment</t>
  </si>
  <si>
    <t>http://fetchrss.com/rss/63e4e4830f32204f7f522ad263ee28c7b1e407752e0c0e22.xml</t>
  </si>
  <si>
    <t>Popular Science - Gear</t>
  </si>
  <si>
    <t>http://fetchrss.com/rss/63e4e4830f32204f7f522ad263ee29010c943a1496322443.xml</t>
  </si>
  <si>
    <t>Popular Science - Medicine</t>
  </si>
  <si>
    <t>http://fetchrss.com/rss/63e4e4830f32204f7f522ad263ee28e804558e095d791802.xml</t>
  </si>
  <si>
    <t>Popular Science - Science</t>
  </si>
  <si>
    <t>http://fetchrss.com/rss/63e4e4830f32204f7f522ad263ee284a1634d442c3640e12.xml</t>
  </si>
  <si>
    <t>Popular Science - Space</t>
  </si>
  <si>
    <t>http://fetchrss.com/rss/63e4e4830f32204f7f522ad263ee27cf04fafb7d787a5c22.xml</t>
  </si>
  <si>
    <t>Popular Science - Tech</t>
  </si>
  <si>
    <t>http://fetchrss.com/rss/63e4e4830f32204f7f522ad263ee27911465ba2c9b659f32.xml</t>
  </si>
  <si>
    <t>https://www.popsci.com/</t>
  </si>
  <si>
    <t>PR News Wire</t>
  </si>
  <si>
    <t>https://www.prnewswire.com/</t>
  </si>
  <si>
    <t>Pr Web</t>
  </si>
  <si>
    <t>https://www.prweb.com/</t>
  </si>
  <si>
    <t>Primeval Patterns</t>
  </si>
  <si>
    <t>https://primevalpatterns.substack.com/feed</t>
  </si>
  <si>
    <t>Print Mag</t>
  </si>
  <si>
    <t>https://www.printmag.com/</t>
  </si>
  <si>
    <t>Pro Publica</t>
  </si>
  <si>
    <t>https://www.propublica.org/</t>
  </si>
  <si>
    <t>Psyche Co</t>
  </si>
  <si>
    <t>https://psyche.co/</t>
  </si>
  <si>
    <t>Psychedelic Review</t>
  </si>
  <si>
    <t>http://fetchrss.com/rss/63e4e4830f32204f7f522ad263efb849d17aae46cf1a72f2.xml</t>
  </si>
  <si>
    <t>https://psychedelicreview.com/</t>
  </si>
  <si>
    <t>Psyscience notes</t>
  </si>
  <si>
    <t>http://psychsciencenotes.blogspot.com/feeds/posts/default</t>
  </si>
  <si>
    <t>http://psychsciencenotes.blogspot.com/</t>
  </si>
  <si>
    <t>Public Domain Review</t>
  </si>
  <si>
    <t>https://publicdomainreview.org/rss.xml</t>
  </si>
  <si>
    <t>https://publicdomainreview.org/</t>
  </si>
  <si>
    <t>Quanta Magazine</t>
  </si>
  <si>
    <t>https://www.quantamagazine.org/</t>
  </si>
  <si>
    <t>Radiator Design Blog</t>
  </si>
  <si>
    <t>https://www.blog.radiator.debacle.us/feeds/posts/default</t>
  </si>
  <si>
    <t>https://www.blog.radiator.debacle.us/</t>
  </si>
  <si>
    <t>Rand Corporations</t>
  </si>
  <si>
    <t>https://www.rand.org/</t>
  </si>
  <si>
    <t>Raph Koster's Blog</t>
  </si>
  <si>
    <t>https://www.raphkoster.com/feed/</t>
  </si>
  <si>
    <t>https://www.raphkoster.com/</t>
  </si>
  <si>
    <t>Readwrite</t>
  </si>
  <si>
    <t>https://readwrite.com/</t>
  </si>
  <si>
    <t>Replication Index</t>
  </si>
  <si>
    <t>https://replicationindex.com/feed/</t>
  </si>
  <si>
    <t>https://replicationindex.com/</t>
  </si>
  <si>
    <t>Reverse Shot</t>
  </si>
  <si>
    <t>https://reverseshot.org/archive/entry/rss</t>
  </si>
  <si>
    <t>https://www.reverseshot.org/</t>
  </si>
  <si>
    <t>Revman Substack</t>
  </si>
  <si>
    <t>https://revman.substack.com/feed</t>
  </si>
  <si>
    <t>Ribbon Farm</t>
  </si>
  <si>
    <t>https://www.ribbonfarm.com/feed/</t>
  </si>
  <si>
    <t>https://www.ribbonfarm.com/</t>
  </si>
  <si>
    <t>Riccardo Mori</t>
  </si>
  <si>
    <t>https://morrick.me/archives/tag/english/feed</t>
  </si>
  <si>
    <t>https://morrick.me/</t>
  </si>
  <si>
    <t>Rolling Stone Magazine</t>
  </si>
  <si>
    <t>https://www.rollingstone.com/</t>
  </si>
  <si>
    <t>Sasha's News letter</t>
  </si>
  <si>
    <t>https://sashachapin.substack.com/feed</t>
  </si>
  <si>
    <t>Sci Tech Daily</t>
  </si>
  <si>
    <t>https://scitechdaily.com/</t>
  </si>
  <si>
    <t>Science Daily</t>
  </si>
  <si>
    <t>https://www.sciencedaily.com/</t>
  </si>
  <si>
    <t>Science Org</t>
  </si>
  <si>
    <t>https://www.science.org/</t>
  </si>
  <si>
    <t>Scientific American</t>
  </si>
  <si>
    <t>https://www.scientificamerican.com/</t>
  </si>
  <si>
    <t>Search Engine Land</t>
  </si>
  <si>
    <t>https://searchengineland.com/</t>
  </si>
  <si>
    <t>Sensible Medicine</t>
  </si>
  <si>
    <t>https://sensiblemed.substack.com/feed</t>
  </si>
  <si>
    <t>Separated by a common language</t>
  </si>
  <si>
    <t>http://feeds.feedburner.com/blogspot/Ckyi</t>
  </si>
  <si>
    <t>https://separatedbyacommonlanguage.blogspot.com/</t>
  </si>
  <si>
    <t>Serhack</t>
  </si>
  <si>
    <t>http://fetchrss.com/rss/63e4e4830f32204f7f522ad263efbe3149953f71b5509a22.xml</t>
  </si>
  <si>
    <t>https://serhack.me/</t>
  </si>
  <si>
    <t>Seth's Blog</t>
  </si>
  <si>
    <t>https://seths.blog/</t>
  </si>
  <si>
    <t>Seymour Hersh</t>
  </si>
  <si>
    <t>https://seymourhersh.substack.com/feed</t>
  </si>
  <si>
    <t>Shaping Design</t>
  </si>
  <si>
    <t>https://www.editorx.com/shaping-design/blog-feed.xml</t>
  </si>
  <si>
    <t>Shetetl Optimized</t>
  </si>
  <si>
    <t>https://scottaaronson.blog/?feed=rss2</t>
  </si>
  <si>
    <t>Singularity Hub</t>
  </si>
  <si>
    <t>https://singularityhub.com/</t>
  </si>
  <si>
    <t>SIPRI</t>
  </si>
  <si>
    <t>https://www.sipri.org/rss/combined.xml</t>
  </si>
  <si>
    <t>https://www.sipri.org/</t>
  </si>
  <si>
    <t>Sky and telescope</t>
  </si>
  <si>
    <t>https://skyandtelescope.com/astronomy-news/feed/</t>
  </si>
  <si>
    <t>https://skyandtelescope.org/</t>
  </si>
  <si>
    <t>SLR Lounge</t>
  </si>
  <si>
    <t>https://www.slrlounge.com/</t>
  </si>
  <si>
    <t>Smarthistory</t>
  </si>
  <si>
    <t>http://fetchrss.com/rss/63e4e4830f32204f7f522ad263ee2a635988eb0b2e3d4092.xml</t>
  </si>
  <si>
    <t>https://smarthistory.org/</t>
  </si>
  <si>
    <t>Smashing Magazine</t>
  </si>
  <si>
    <t>https://www.smashingmagazine.com/</t>
  </si>
  <si>
    <t>Smithsonian Megazine</t>
  </si>
  <si>
    <t>https://www.smithsonianmag.com/</t>
  </si>
  <si>
    <t>Space Flight Now</t>
  </si>
  <si>
    <t>http://fetchrss.com/rss/63e4e4830f32204f7f522ad263ef4c7d30640325a4347bf2.xml</t>
  </si>
  <si>
    <t>https://spaceflightnow.com/</t>
  </si>
  <si>
    <t>Space News</t>
  </si>
  <si>
    <t>https://spacenews.com/</t>
  </si>
  <si>
    <t>Space Ref</t>
  </si>
  <si>
    <t>https://spaceref.com/</t>
  </si>
  <si>
    <t>Speedhunters</t>
  </si>
  <si>
    <t>http://www.speedhunters.com/</t>
  </si>
  <si>
    <t>Spotify Design</t>
  </si>
  <si>
    <t>http://fetchrss.com/rss/63e4e4830f32204f7f522ad263efb8c659393c0edf6e6c22.xml</t>
  </si>
  <si>
    <t>https://spotify.design/</t>
  </si>
  <si>
    <t>Stackoverflow Blog</t>
  </si>
  <si>
    <t>https://stackoverflow.blog/</t>
  </si>
  <si>
    <t>Standford - Arts</t>
  </si>
  <si>
    <t>http://fetchrss.com/rss/63e4e4830f32204f7f522ad263e63eefc33459578b5fd922.xml</t>
  </si>
  <si>
    <t>Standford - Business</t>
  </si>
  <si>
    <t>http://fetchrss.com/rss/63e4e4830f32204f7f522ad263e63f7c9e25af66286b70b2.xml</t>
  </si>
  <si>
    <t>Standford - Humanities</t>
  </si>
  <si>
    <t>http://fetchrss.com/rss/63e4e4830f32204f7f522ad263e63feae1886f4166120c22.xml</t>
  </si>
  <si>
    <t>Standford - Medicine</t>
  </si>
  <si>
    <t>http://fetchrss.com/rss/63e4e4830f32204f7f522ad263e6407540b79c565959ebe2.xml</t>
  </si>
  <si>
    <t>Standford - Science</t>
  </si>
  <si>
    <t>http://fetchrss.com/rss/63e4e4830f32204f7f522ad263e640a1798446131d462782.xml</t>
  </si>
  <si>
    <t>Stanford Encyclopedia of Philosophy</t>
  </si>
  <si>
    <t>https://plato.stanford.edu/rss/sep.xml</t>
  </si>
  <si>
    <t>https://plato.stanford.edu/</t>
  </si>
  <si>
    <t>Stat modeling</t>
  </si>
  <si>
    <t>https://statmodeling.stat.columbia.edu/feed/</t>
  </si>
  <si>
    <t>https://statmodeling.stat.columbia.edu/</t>
  </si>
  <si>
    <t>Statistical Thinking</t>
  </si>
  <si>
    <t>https://www.fharrell.com/index.xml</t>
  </si>
  <si>
    <t>https://www.fharrell.com/</t>
  </si>
  <si>
    <t>Stephanie Kelton</t>
  </si>
  <si>
    <t>https://stephaniekelton.substack.com/feed</t>
  </si>
  <si>
    <t>Stephen Wolfram</t>
  </si>
  <si>
    <t>https://writings.stephenwolfram.com/feed</t>
  </si>
  <si>
    <t>Steve Blank</t>
  </si>
  <si>
    <t>https://steveblank.com/feed/</t>
  </si>
  <si>
    <t>https://steveblank.com/</t>
  </si>
  <si>
    <t>Stirworld - Inspire</t>
  </si>
  <si>
    <t>http://fetchrss.com/rss/63e4e4830f32204f7f522ad263ff4a77322d6b1fbf5b7b32.xml</t>
  </si>
  <si>
    <t>Stirworld - See</t>
  </si>
  <si>
    <t>http://fetchrss.com/rss/63e4e4830f32204f7f522ad263ff49de700c7762f94169b2.xml</t>
  </si>
  <si>
    <t>Stirworld - Think</t>
  </si>
  <si>
    <t>http://fetchrss.com/rss/63e4e4830f32204f7f522ad263ff4a19ff88071da2020922.xml</t>
  </si>
  <si>
    <t>Strange History</t>
  </si>
  <si>
    <t>https://www.strangehistory.net/feed/</t>
  </si>
  <si>
    <t>http://www.strangehistory.net/</t>
  </si>
  <si>
    <t>Stratechery</t>
  </si>
  <si>
    <t>https://stratechery.com/</t>
  </si>
  <si>
    <t>Stripe</t>
  </si>
  <si>
    <t>https://stripe.com/</t>
  </si>
  <si>
    <t>Sustainability by numbers</t>
  </si>
  <si>
    <t>https://hannahritchie.substack.com/feed</t>
  </si>
  <si>
    <t>Techcrunch</t>
  </si>
  <si>
    <t>https://techcrunch.com/</t>
  </si>
  <si>
    <t>Techspot</t>
  </si>
  <si>
    <t>https://www.techspot.com/</t>
  </si>
  <si>
    <t>Tedgiogia</t>
  </si>
  <si>
    <t>https://tedgioia.substack.com/feed</t>
  </si>
  <si>
    <t>Terrible Minds</t>
  </si>
  <si>
    <t>https://terribleminds.com/feed/</t>
  </si>
  <si>
    <t>https://terribleminds.com/</t>
  </si>
  <si>
    <t>TFL car</t>
  </si>
  <si>
    <t>http://fetchrss.com/rss/63e4e4830f32204f7f522ad263ee2b07aded4b32465d3c52.xml</t>
  </si>
  <si>
    <t>https://tflcar.com/</t>
  </si>
  <si>
    <t>The Ambitious Designer</t>
  </si>
  <si>
    <t>https://ambitiousdesigner.substack.com/feed</t>
  </si>
  <si>
    <t>The Atlantic</t>
  </si>
  <si>
    <t>https://www.theatlantic.com/</t>
  </si>
  <si>
    <t>The Brand Identity</t>
  </si>
  <si>
    <t>http://fetchrss.com/rss/63e4e4830f32204f7f522ad2640b262aca80c756ab0c5643.xml</t>
  </si>
  <si>
    <t>The Brockvich Report</t>
  </si>
  <si>
    <t>https://www.thebrockovichreport.com/feed</t>
  </si>
  <si>
    <t>The Cinema Archives</t>
  </si>
  <si>
    <t>https://thecinemaarchives.com/feed/</t>
  </si>
  <si>
    <t>https://thecinemaarchives.com/</t>
  </si>
  <si>
    <t>The Conversation - Arts + Culture</t>
  </si>
  <si>
    <t>https://theconversation.com/us/arts/articles.atom</t>
  </si>
  <si>
    <t>The Conversation - Economy</t>
  </si>
  <si>
    <t>https://theconversation.com/us/business/articles.atom</t>
  </si>
  <si>
    <t>The Conversation - Environment + Energy</t>
  </si>
  <si>
    <t>https://theconversation.com/us/environment/articles.atom</t>
  </si>
  <si>
    <t>The Conversation - Ethics + Religion</t>
  </si>
  <si>
    <t>https://theconversation.com/us/ethics/articles.atom</t>
  </si>
  <si>
    <t>The Conversation - Health</t>
  </si>
  <si>
    <t>https://theconversation.com/us/health/articles.atom</t>
  </si>
  <si>
    <t>The Conversation - Science + Tech</t>
  </si>
  <si>
    <t>https://theconversation.com/us/technology/articles.atom</t>
  </si>
  <si>
    <t>The Criterion Collection</t>
  </si>
  <si>
    <t>http://fetchrss.com/rss/63e4e4830f32204f7f522ad263efb5d0028c701d417f3e02.xml</t>
  </si>
  <si>
    <t>https://www.criterion.com/</t>
  </si>
  <si>
    <t>The Daily WTF</t>
  </si>
  <si>
    <t>https://thedailywtf.com/</t>
  </si>
  <si>
    <t>The Deleted Scenes</t>
  </si>
  <si>
    <t>https://thedeletedscenes.substack.com/feed</t>
  </si>
  <si>
    <t>The dieline</t>
  </si>
  <si>
    <t>https://thedieline.com/?</t>
  </si>
  <si>
    <t>The Drum</t>
  </si>
  <si>
    <t>https://www.thedrum.com/</t>
  </si>
  <si>
    <t>The Fox is Black</t>
  </si>
  <si>
    <t>https://www.thefoxisblack.com/feed</t>
  </si>
  <si>
    <t>https://www.thefoxisblack.com/</t>
  </si>
  <si>
    <t>The Hill Business</t>
  </si>
  <si>
    <t>https://thehill.com/business/feed/</t>
  </si>
  <si>
    <t>The History Blog</t>
  </si>
  <si>
    <t>https://www.thehistoryblog.com/feed</t>
  </si>
  <si>
    <t>http://www.thehistoryblog.com/</t>
  </si>
  <si>
    <t>The Mark Up</t>
  </si>
  <si>
    <t>https://themarkup.org/</t>
  </si>
  <si>
    <t>The New Humanitarian</t>
  </si>
  <si>
    <t>https://www.thenewhumanitarian.org/</t>
  </si>
  <si>
    <t>The New Paris Dispatch</t>
  </si>
  <si>
    <t>https://bonjour.lindseytramuta.com/feed</t>
  </si>
  <si>
    <t>https://bonjour.lindseytramuta.com/</t>
  </si>
  <si>
    <t>The New York Review - Economics</t>
  </si>
  <si>
    <t>http://fetchrss.com/rss/63e4e4830f32204f7f522ad264006a7a0e888f2a713401d2.xml</t>
  </si>
  <si>
    <t>The New York Review - Film</t>
  </si>
  <si>
    <t>http://fetchrss.com/rss/63e4e4830f32204f7f522ad2640069b3a9351c1f8204cc42.xml</t>
  </si>
  <si>
    <t>The New York Review - History</t>
  </si>
  <si>
    <t>http://fetchrss.com/rss/63e4e4830f32204f7f522ad264006a58e178b7554747e7b3.xml</t>
  </si>
  <si>
    <t>The New York Review - Literature</t>
  </si>
  <si>
    <t>http://fetchrss.com/rss/63e4e4830f32204f7f522ad2640068e884abe1521f2f58f2.xml</t>
  </si>
  <si>
    <t>The New York Review - Music</t>
  </si>
  <si>
    <t>http://fetchrss.com/rss/63e4e4830f32204f7f522ad2640069de3bd5df742c6a2572.xml</t>
  </si>
  <si>
    <t>The New York Review - Performing Arts</t>
  </si>
  <si>
    <t>http://fetchrss.com/rss/63e4e4830f32204f7f522ad264006985322ae316031b30c2.xml</t>
  </si>
  <si>
    <t>The New York Review - Philosophy</t>
  </si>
  <si>
    <t>http://fetchrss.com/rss/63e4e4830f32204f7f522ad264006ada2bf34c5ca943ace2.xml</t>
  </si>
  <si>
    <t>The New York Review - Science</t>
  </si>
  <si>
    <t>http://fetchrss.com/rss/63e4e4830f32204f7f522ad264006ab451b57f36e02b3793.xml</t>
  </si>
  <si>
    <t>The New York Review - Society</t>
  </si>
  <si>
    <t>http://fetchrss.com/rss/63e4e4830f32204f7f522ad264006a15e178b7554747e7b2.xml</t>
  </si>
  <si>
    <t>The New York Review - Visual Arts</t>
  </si>
  <si>
    <t>http://fetchrss.com/rss/63e4e4830f32204f7f522ad26400693e54b3824b842300e2.xml</t>
  </si>
  <si>
    <t>The Next Web</t>
  </si>
  <si>
    <t>https://thenextweb.com/</t>
  </si>
  <si>
    <t>The Paris Review</t>
  </si>
  <si>
    <t>https://feeds.feedburner.com/TheParisReviewBlog</t>
  </si>
  <si>
    <t>https://www.theparisreview.org/</t>
  </si>
  <si>
    <t>The Path of Things</t>
  </si>
  <si>
    <t>https://thepathosofthings.substack.com/feed</t>
  </si>
  <si>
    <t>The Planetary Society</t>
  </si>
  <si>
    <t>https://www.planetary.org/</t>
  </si>
  <si>
    <t>The Register</t>
  </si>
  <si>
    <t>https://www.theregister.com/</t>
  </si>
  <si>
    <t>The Ringer - Movies</t>
  </si>
  <si>
    <t>http://fetchrss.com/rss/63e4e4830f32204f7f522ad2640a4c63c68a8d14b41108d2.xml</t>
  </si>
  <si>
    <t>The Ringer - Music</t>
  </si>
  <si>
    <t>http://fetchrss.com/rss/63e4e4830f32204f7f522ad2640a4c9a0bbc804add468402.xml</t>
  </si>
  <si>
    <t>The Scientist</t>
  </si>
  <si>
    <t>http://fetchrss.com/rss/63e4e4830f32204f7f522ad263ee2b751422214ea5682f72.xml</t>
  </si>
  <si>
    <t>https://www.the-scientist.com/</t>
  </si>
  <si>
    <t>The Sequence</t>
  </si>
  <si>
    <t>https://thesequence.substack.com/feed</t>
  </si>
  <si>
    <t>The Smitten Kitchen Digest</t>
  </si>
  <si>
    <t>https://smittenkitchen.substack.com/feed</t>
  </si>
  <si>
    <t>The Spaces</t>
  </si>
  <si>
    <t>http://feeds.feedburner.com/thespacesmag</t>
  </si>
  <si>
    <t>The Swiss Ramble</t>
  </si>
  <si>
    <t>https://swissramble.substack.com/feed</t>
  </si>
  <si>
    <t>The UX Collective Newsletter</t>
  </si>
  <si>
    <t>https://newsletter.uxdesign.cc/feed</t>
  </si>
  <si>
    <t>The Verge</t>
  </si>
  <si>
    <t>https://www.theverge.com/</t>
  </si>
  <si>
    <t>The War Zone</t>
  </si>
  <si>
    <t>http://fetchrss.com/rss/63e4e4830f32204f7f522ad263e92533a5a4eb11c81b6562.xml</t>
  </si>
  <si>
    <t>https://www.thedrive.com/the-war-zone</t>
  </si>
  <si>
    <t>There Oughta Be</t>
  </si>
  <si>
    <t>https://there.oughta.be/feed.xml</t>
  </si>
  <si>
    <t>https://there.oughta.be/</t>
  </si>
  <si>
    <t>This day in history</t>
  </si>
  <si>
    <t>https://historytruth.substack.com/feed</t>
  </si>
  <si>
    <t>This is Colossal</t>
  </si>
  <si>
    <t>https://www.thisiscolossal.com/</t>
  </si>
  <si>
    <t>Time Travel Kitchen</t>
  </si>
  <si>
    <t>https://timetravelkitchen.substack.com/feed</t>
  </si>
  <si>
    <t>Tonsky Blog</t>
  </si>
  <si>
    <t>http://tonsky.me/blog/atom.xml</t>
  </si>
  <si>
    <t>https://tonsky.me/</t>
  </si>
  <si>
    <t>UCreative</t>
  </si>
  <si>
    <t>https://www.ucreative.com/feed/</t>
  </si>
  <si>
    <t>https://www.ucreative.com/</t>
  </si>
  <si>
    <t>UN Org</t>
  </si>
  <si>
    <t>https://www.un.org/</t>
  </si>
  <si>
    <t>Unicef</t>
  </si>
  <si>
    <t>https://www.unicefusa.org/rss</t>
  </si>
  <si>
    <t>https://www.unicef.org/</t>
  </si>
  <si>
    <t>UPenn Engineering Blog</t>
  </si>
  <si>
    <t>http://fetchrss.com/rss/63e4e4830f32204f7f522ad263eeb5238e9b7f30f7084892.xml</t>
  </si>
  <si>
    <t>https://blog.seas.upenn.edu/</t>
  </si>
  <si>
    <t>Urban Kaoboy</t>
  </si>
  <si>
    <t>https://urbankaoboy.substack.com/feed</t>
  </si>
  <si>
    <t>Viget Articles</t>
  </si>
  <si>
    <t>https://www.viget.com/</t>
  </si>
  <si>
    <t>Vox Recode</t>
  </si>
  <si>
    <t>http://fetchrss.com/rss/63e4e4830f32204f7f522ad263edf730f313e44701722dc2.xml</t>
  </si>
  <si>
    <t>VoxEU</t>
  </si>
  <si>
    <t>http://fetchrss.com/rss/63e4e4830f32204f7f522ad263efb180574f56650e323d72.xml</t>
  </si>
  <si>
    <t>https://cepr.org/</t>
  </si>
  <si>
    <t>Wallpaper - Architecture</t>
  </si>
  <si>
    <t>http://fetchrss.com/rss/63e4e4830f32204f7f522ad2640b221869a7d75c4e3b5033.xml</t>
  </si>
  <si>
    <t>Wallpaper - Art</t>
  </si>
  <si>
    <t>http://fetchrss.com/rss/63e4e4830f32204f7f522ad2640b22aee668d469642c0122.xml</t>
  </si>
  <si>
    <t>Wallpaper - Design</t>
  </si>
  <si>
    <t>http://fetchrss.com/rss/63e4e4830f32204f7f522ad2640b226d9c596c031452c972.xml</t>
  </si>
  <si>
    <t>Wallpaper - Entertainment</t>
  </si>
  <si>
    <t>http://fetchrss.com/rss/63e4e4830f32204f7f522ad2640b237c2bb7bd0759455632.xml</t>
  </si>
  <si>
    <t>Wallpaper - Fashion</t>
  </si>
  <si>
    <t>http://fetchrss.com/rss/63e4e4830f32204f7f522ad2640b22e5e668d469642c0123.xml</t>
  </si>
  <si>
    <t>Wallpaper - Tech</t>
  </si>
  <si>
    <t>http://fetchrss.com/rss/63e4e4830f32204f7f522ad2640b2306350d6d22cc2e2842.xml</t>
  </si>
  <si>
    <t>Wallpaper - Transportation</t>
  </si>
  <si>
    <t>http://fetchrss.com/rss/63e4e4830f32204f7f522ad2640b2351e595ad1a4e5628a2.xml</t>
  </si>
  <si>
    <t>Wallpaper - Watches</t>
  </si>
  <si>
    <t>http://fetchrss.com/rss/63e4e4830f32204f7f522ad2640b22cafa0c447cbd6fa512.xml</t>
  </si>
  <si>
    <t>Waltorious Writes About Games</t>
  </si>
  <si>
    <t>https://waltoriouswritesaboutgames.com/feed/</t>
  </si>
  <si>
    <t>https://waltoriouswritesaboutgames.com/</t>
  </si>
  <si>
    <t>Watchlist stocks</t>
  </si>
  <si>
    <t>https://watchliststocks.substack.com/feed</t>
  </si>
  <si>
    <t>WEF</t>
  </si>
  <si>
    <t>https://www.weforum.org/</t>
  </si>
  <si>
    <t>Who What Wear</t>
  </si>
  <si>
    <t>https://www.whowhatwear.com/rss</t>
  </si>
  <si>
    <t>Willowd</t>
  </si>
  <si>
    <t>https://willdowd.substack.com/feed</t>
  </si>
  <si>
    <t>Wired</t>
  </si>
  <si>
    <t>https://www.wired.com/</t>
  </si>
  <si>
    <t>Wisdom of Crowds</t>
  </si>
  <si>
    <t>https://wisdomofcrowds.live/rss/</t>
  </si>
  <si>
    <t>Woody Allen Substack</t>
  </si>
  <si>
    <t>https://woodyallen.substack.com/feed</t>
  </si>
  <si>
    <t>Workinprogress</t>
  </si>
  <si>
    <t>https://worksinprogress.substack.com/feed</t>
  </si>
  <si>
    <t>https://www.worksinprogress.co/</t>
  </si>
  <si>
    <t>World Bank</t>
  </si>
  <si>
    <t>http://fetchrss.com/rss/63e4e4830f32204f7f522ad263eeafe280ca7e435520fe22.xml</t>
  </si>
  <si>
    <t>https://www.worldbank.org/</t>
  </si>
  <si>
    <t>World Health Organization - Humanitarian Actions</t>
  </si>
  <si>
    <t>https://www.emro.who.int/index.php?option=com_mediarss&amp;feed_id=3&amp;format=raw</t>
  </si>
  <si>
    <t>World Health Organization - News</t>
  </si>
  <si>
    <t>https://www.emro.who.int/index.php?option=com_mediarss&amp;feed_id=2&amp;format=raw&amp;utm_source=rss&amp;utm_medium=rssfeeds&amp;utm_campaign=emronews</t>
  </si>
  <si>
    <t>WWD</t>
  </si>
  <si>
    <t>https://wwd.com/</t>
  </si>
  <si>
    <t>Xeiaso</t>
  </si>
  <si>
    <t>https://xeiaso.net/blog.rss</t>
  </si>
  <si>
    <t>Xeiaso.net/</t>
  </si>
  <si>
    <t>Yale - Accounting</t>
  </si>
  <si>
    <t>http://fetchrss.com/rss/63e4e4830f32204f7f522ad263e78d4340099000405e78c2.xml</t>
  </si>
  <si>
    <t>Yale - Aerospace</t>
  </si>
  <si>
    <t>http://fetchrss.com/rss/63e4e4830f32204f7f522ad263e78cd8bfe3066f200b6892.xml</t>
  </si>
  <si>
    <t>Yale - Antitrust</t>
  </si>
  <si>
    <t>http://fetchrss.com/rss/63e4e4830f32204f7f522ad263e78d7ffb662b079165c152.xml</t>
  </si>
  <si>
    <t>Yale - Climate - Connections</t>
  </si>
  <si>
    <t>https://yaleclimateconnections.org/feed/</t>
  </si>
  <si>
    <t>https://yaleclimateconnections.org/</t>
  </si>
  <si>
    <t>Yale - Data</t>
  </si>
  <si>
    <t>http://fetchrss.com/rss/63e4e4830f32204f7f522ad263e78dcacefc7e629950a182.xml</t>
  </si>
  <si>
    <t>Yale - Economic Development</t>
  </si>
  <si>
    <t>http://fetchrss.com/rss/63e4e4830f32204f7f522ad263e78e0c1386c31d34126313.xml</t>
  </si>
  <si>
    <t>Yale - Economy</t>
  </si>
  <si>
    <t>http://fetchrss.com/rss/63e4e4830f32204f7f522ad263e78e2dcefc7e629950a183.xml</t>
  </si>
  <si>
    <t>Yale - Energy</t>
  </si>
  <si>
    <t>http://fetchrss.com/rss/63e4e4830f32204f7f522ad263e78e7b125d5961b9490462.xml</t>
  </si>
  <si>
    <t>Yale - Finance</t>
  </si>
  <si>
    <t>http://fetchrss.com/rss/63e4e4830f32204f7f522ad263e78eca65c2a833c477df32.xml</t>
  </si>
  <si>
    <t>Yale - Financial Crisis</t>
  </si>
  <si>
    <t>http://fetchrss.com/rss/63e4e4830f32204f7f522ad263e78eeba5a30a44c177af92.xml</t>
  </si>
  <si>
    <t>Yale - Health Care</t>
  </si>
  <si>
    <t>http://fetchrss.com/rss/63e4e4830f32204f7f522ad263e78f5fdb568b225d0dc102.xml</t>
  </si>
  <si>
    <t>Yale - Innovation</t>
  </si>
  <si>
    <t>http://fetchrss.com/rss/63e4e4830f32204f7f522ad263e78faccb67f3356b71fb12.xml</t>
  </si>
  <si>
    <t>Yale - International Business</t>
  </si>
  <si>
    <t>http://fetchrss.com/rss/63e4e4830f32204f7f522ad263e78f259cfb467b9a17b192.xml</t>
  </si>
  <si>
    <t>Yale - Investing</t>
  </si>
  <si>
    <t>http://fetchrss.com/rss/63e4e4830f32204f7f522ad263e78fd66df40149675d40b2.xml</t>
  </si>
  <si>
    <t>Yale - Marketing</t>
  </si>
  <si>
    <t>http://fetchrss.com/rss/63e4e4830f32204f7f522ad263e7900280394507c466e0f2.xml</t>
  </si>
  <si>
    <t>Yale - Markets</t>
  </si>
  <si>
    <t>http://fetchrss.com/rss/63e4e4830f32204f7f522ad263e7902cc8d4094ed97248d2.xml</t>
  </si>
  <si>
    <t>Yale - Operations</t>
  </si>
  <si>
    <t>http://fetchrss.com/rss/63e4e4830f32204f7f522ad263e790556533195290132502.xml</t>
  </si>
  <si>
    <t>Yale - Start ups</t>
  </si>
  <si>
    <t>http://fetchrss.com/rss/63e4e4830f32204f7f522ad263e78ea1c31fd3618f542722.xml</t>
  </si>
  <si>
    <t>Yale - Sustainability</t>
  </si>
  <si>
    <t>http://fetchrss.com/rss/63e4e4830f32204f7f522ad263e790e753468b0aac55a0f2.xml</t>
  </si>
  <si>
    <t>Yale - Tech</t>
  </si>
  <si>
    <t>http://fetchrss.com/rss/63e4e4830f32204f7f522ad263e79097fb1475013646d462.xml</t>
  </si>
  <si>
    <t>You get in love then you die</t>
  </si>
  <si>
    <t>https://ella.substack.com/feed</t>
  </si>
  <si>
    <t>Your EDM RSS</t>
  </si>
  <si>
    <t>youredm.com/feed</t>
  </si>
  <si>
    <t>ZD Net</t>
  </si>
  <si>
    <t>https://www.zdnet.com/</t>
  </si>
  <si>
    <t>Internal Tech Emails</t>
  </si>
  <si>
    <t>https://www.techemails.com/feed</t>
  </si>
  <si>
    <t>Praying for Exits</t>
  </si>
  <si>
    <t>https://prayingforexits.substack.com/feed</t>
  </si>
  <si>
    <t>What I read this week</t>
  </si>
  <si>
    <t>https://chamathreads.substack.com/feed</t>
  </si>
  <si>
    <t>Mark Mcqueen's Blog</t>
  </si>
  <si>
    <t>https://markmcqueen.substack.com/feed</t>
  </si>
  <si>
    <t>Flowstate FM</t>
  </si>
  <si>
    <t>https://www.flowstate.fm/feed</t>
  </si>
  <si>
    <t>Fidenza Macro</t>
  </si>
  <si>
    <t>https://fidenza.substack.com/feed</t>
  </si>
  <si>
    <t>Huddle Up</t>
  </si>
  <si>
    <t>https://huddleup.substack.com/feed</t>
  </si>
  <si>
    <t>A Havenstein Moment</t>
  </si>
  <si>
    <t>https://rudy.substack.com/feed</t>
  </si>
  <si>
    <t>Stay at Home Macro</t>
  </si>
  <si>
    <t>https://stayathomemacro.substack.com/feed</t>
  </si>
  <si>
    <t>CalculatedRisk Newsletter</t>
  </si>
  <si>
    <t>https://calculatedrisk.substack.com/feed</t>
  </si>
  <si>
    <t>Data For Progress</t>
  </si>
  <si>
    <t>http://fetchrss.com/rss/63e4e4830f32204f7f522ad2640da67abbb4de0bbd3cdd22.xml</t>
  </si>
  <si>
    <t>St. Louis Fed</t>
  </si>
  <si>
    <t>https://fredblog.stlouisfed.org/feed/</t>
  </si>
  <si>
    <t>Crisis Group</t>
  </si>
  <si>
    <t>http://fetchrss.com/rss/63e4e4830f32204f7f522ad2640daa99cc087b482f466332.xml</t>
  </si>
  <si>
    <t>Lion's Roar</t>
  </si>
  <si>
    <t>https://www.lionsroar.com/</t>
  </si>
  <si>
    <t>Wondrium Daily - Arts</t>
  </si>
  <si>
    <t>http://fetchrss.com/rss/63e4e4830f32204f7f522ad2640ddc13f952e50eac3f0962.xml</t>
  </si>
  <si>
    <t>Wondrium Daily - Business</t>
  </si>
  <si>
    <t>http://fetchrss.com/rss/63e4e4830f32204f7f522ad2640ddc3da4d769385406c962.xml</t>
  </si>
  <si>
    <t>Wondrium Daily - Health</t>
  </si>
  <si>
    <t>http://fetchrss.com/rss/63e4e4830f32204f7f522ad2640ddc939a5b58225a527252.xml</t>
  </si>
  <si>
    <t>Wondrium Daily - History</t>
  </si>
  <si>
    <t>http://fetchrss.com/rss/63e4e4830f32204f7f522ad2640ddcc355dbe531615d1812.xml</t>
  </si>
  <si>
    <t>Wondrium Daily - Literature</t>
  </si>
  <si>
    <t>http://fetchrss.com/rss/63e4e4830f32204f7f522ad2640ddcea9a5b58225a527253.xml</t>
  </si>
  <si>
    <t>Wondrium Daily - Math</t>
  </si>
  <si>
    <t>http://fetchrss.com/rss/63e4e4830f32204f7f522ad2640ddd355a696168776f7db2.xml</t>
  </si>
  <si>
    <t>Wondrium Daily - Philosophy</t>
  </si>
  <si>
    <t>http://fetchrss.com/rss/63e4e4830f32204f7f522ad2640ddd61b751126184065d12.xml</t>
  </si>
  <si>
    <t>Wondrium Daily - Science</t>
  </si>
  <si>
    <t>http://fetchrss.com/rss/63e4e4830f32204f7f522ad2640ddd89b7d44b080009fe32.xml</t>
  </si>
  <si>
    <t>Wondrium Daily - Psychology</t>
  </si>
  <si>
    <t>http://fetchrss.com/rss/63e4e4830f32204f7f522ad2640dddadccc21358320d9e52.xml</t>
  </si>
  <si>
    <t>theTeam Blog</t>
  </si>
  <si>
    <t>http://fetchrss.com/rss/63e4e4830f32204f7f522ad2640ddf92c2444314982b0d52.xml</t>
  </si>
  <si>
    <t>John Hawks Blog</t>
  </si>
  <si>
    <t>https://johnhawks.net/weblog/rss/</t>
  </si>
  <si>
    <t>Astro Bites</t>
  </si>
  <si>
    <t>https://astrobites.org/feed/</t>
  </si>
  <si>
    <t>Cirium</t>
  </si>
  <si>
    <t>http://fetchrss.com/rss/63e4e4830f32204f7f522ad2640de4633ef16e78f75ae8a3.xml</t>
  </si>
  <si>
    <t>JoIE Blog</t>
  </si>
  <si>
    <t>https://joie-blog.net/feed</t>
  </si>
  <si>
    <t>M&amp;A Community</t>
  </si>
  <si>
    <t>https://mnacommunity.com/insights/feed/</t>
  </si>
  <si>
    <t>Idea Log</t>
  </si>
  <si>
    <t>https://www.idealog.com/blog/feed/</t>
  </si>
  <si>
    <t>SC Magazine</t>
  </si>
  <si>
    <t>https://www.scmagazine.com/</t>
  </si>
  <si>
    <t>Stanford Medicine Magazine</t>
  </si>
  <si>
    <t>https://stanmed.stanford.edu/articles/feed/</t>
  </si>
  <si>
    <t>Logo Lounge</t>
  </si>
  <si>
    <t>http://fetchrss.com/rss/63e4e4830f32204f7f522ad2640e1fe4814a0301091daa32.xml</t>
  </si>
  <si>
    <t>EU Research &amp; Innovation Magazine - Space</t>
  </si>
  <si>
    <t>http://fetchrss.com/rss/63e4e4830f32204f7f522ad2640e21d5900da6081d56f8a2.xml</t>
  </si>
  <si>
    <t>EU Research &amp; Innovation Magazine - Covid</t>
  </si>
  <si>
    <t>http://fetchrss.com/rss/63e4e4830f32204f7f522ad2640e22275552a97606705b32.xml</t>
  </si>
  <si>
    <t>EU Research &amp; Innovation Magazine - Agriculture</t>
  </si>
  <si>
    <t>http://fetchrss.com/rss/63e4e4830f32204f7f522ad2640e229d16ad1a71d8285122.xml</t>
  </si>
  <si>
    <t>EU Research &amp; Innovation Magazine - Energy</t>
  </si>
  <si>
    <t>http://fetchrss.com/rss/63e4e4830f32204f7f522ad2640e22e18df9cc31da3f7652.xml</t>
  </si>
  <si>
    <t>EU Research &amp; Innovation Magazine - Environment</t>
  </si>
  <si>
    <t>http://fetchrss.com/rss/63e4e4830f32204f7f522ad2640e232d03734f657b7604e2.xml</t>
  </si>
  <si>
    <t>EU Research &amp; Innovation Magazine - Health</t>
  </si>
  <si>
    <t>http://fetchrss.com/rss/63e4e4830f32204f7f522ad2640e236bb0419f184655a482.xml</t>
  </si>
  <si>
    <t>EU Research &amp; Innovation Magazine - Social Sciences</t>
  </si>
  <si>
    <t>http://fetchrss.com/rss/63e4e4830f32204f7f522ad2640e23ed7f8ea92110778d42.xml</t>
  </si>
  <si>
    <t>EU Research &amp; Innovation Magazine - Transportation</t>
  </si>
  <si>
    <t>http://fetchrss.com/rss/63e4e4830f32204f7f522ad2640e2430c1748a0cd917a712.xml</t>
  </si>
  <si>
    <t>Relentless Beats</t>
  </si>
  <si>
    <t>http://fetchrss.com/rss/63e4e4830f32204f7f522ad2640e2518bde8862fb64f5fe2.xml</t>
  </si>
  <si>
    <t>Amplify Nabshow</t>
  </si>
  <si>
    <t>https://amplify.nabshow.com/feed/?post_type=articles</t>
  </si>
  <si>
    <t>KQED</t>
  </si>
  <si>
    <t>https://www.kqed.org/</t>
  </si>
  <si>
    <t>Monomythical</t>
  </si>
  <si>
    <t>https://nayafia.substack.com/feed</t>
  </si>
  <si>
    <t>Unwind AI</t>
  </si>
  <si>
    <t>https://unwindai.substack.com/feed</t>
  </si>
  <si>
    <t>Ahmad Shadeed</t>
  </si>
  <si>
    <t>https://ishadeed.com/feed.xml</t>
  </si>
  <si>
    <t>The White Review</t>
  </si>
  <si>
    <t>http://fetchrss.com/rss/63e4e4830f32204f7f522ad2640eec04ab797a374c668692.xml</t>
  </si>
  <si>
    <t>Popculture Shelf - Film</t>
  </si>
  <si>
    <t>http://fetchrss.com/rss/63e4e4830f32204f7f522ad2640eed36ea09ba434a263f05.xml</t>
  </si>
  <si>
    <t>Popculture Shelf - Literature</t>
  </si>
  <si>
    <t>http://fetchrss.com/rss/63e4e4830f32204f7f522ad2640eed8ea1f04d7d055b55c4.xml</t>
  </si>
  <si>
    <t>Popculture Shelf - Music</t>
  </si>
  <si>
    <t>http://fetchrss.com/rss/63e4e4830f32204f7f522ad2640eedb498c537175d02fb34.xml</t>
  </si>
  <si>
    <t>The Hustle</t>
  </si>
  <si>
    <t>https://thehustle.co/feed/</t>
  </si>
  <si>
    <t>The Generation</t>
  </si>
  <si>
    <t>http://the-generation.net/feed/</t>
  </si>
  <si>
    <t>E3G</t>
  </si>
  <si>
    <t>https://www.e3g.org/latest/feed/</t>
  </si>
  <si>
    <t>EIA - Petroleum &amp; Other Liquids</t>
  </si>
  <si>
    <t>http://fetchrss.com/rss/63e4e4830f32204f7f522ad2640efcead0388847631a4802.xml</t>
  </si>
  <si>
    <t>The Diplomat</t>
  </si>
  <si>
    <t>https://thediplomat.com/</t>
  </si>
  <si>
    <t>The Short Cut</t>
  </si>
  <si>
    <t>https://www.theshortcut.com/feed</t>
  </si>
  <si>
    <t>T&amp;A</t>
  </si>
  <si>
    <t>https://tuganapollo.substack.com/feed</t>
  </si>
  <si>
    <t>News Medical RSS</t>
  </si>
  <si>
    <t>https://www.news-medical.net/syndication.axd?format=rss</t>
  </si>
  <si>
    <t>Knowable Magazine - Health</t>
  </si>
  <si>
    <t>http://fetchrss.com/rss/63e4e4830f32204f7f522ad264104d55872ad1304e1bbf42.xml</t>
  </si>
  <si>
    <t>Knowable Magazine - Biology</t>
  </si>
  <si>
    <t>http://fetchrss.com/rss/63e4e4830f32204f7f522ad264104d90f08992123c589f32.xml</t>
  </si>
  <si>
    <t>Knowable Magazine - Physical World</t>
  </si>
  <si>
    <t>http://fetchrss.com/rss/63e4e4830f32204f7f522ad264104dc783e0e941f5573902.xml</t>
  </si>
  <si>
    <t>Knowable Magazine - Society</t>
  </si>
  <si>
    <t>http://fetchrss.com/rss/63e4e4830f32204f7f522ad264104e2a7f172b0fc137c5a2.xml</t>
  </si>
  <si>
    <t>Knowable Magazine - Food</t>
  </si>
  <si>
    <t>http://fetchrss.com/rss/63e4e4830f32204f7f522ad264104e692d88c8389833cd72.xml</t>
  </si>
  <si>
    <t>Knowable Magazine - Technology</t>
  </si>
  <si>
    <t>http://fetchrss.com/rss/63e4e4830f32204f7f522ad2641054d58bc077261a442793.xml</t>
  </si>
  <si>
    <t>Knowable Magazine - Mind</t>
  </si>
  <si>
    <t>http://fetchrss.com/rss/63e4e4830f32204f7f522ad2641054f93bdf0512d81c3342.xml</t>
  </si>
  <si>
    <t>Washington University News - Engineering</t>
  </si>
  <si>
    <t>https://www.washington.edu/news/category/engineering/feed/</t>
  </si>
  <si>
    <t>Washington University News - Health</t>
  </si>
  <si>
    <t>https://www.washington.edu/news/category/health-and-medicine/feed/</t>
  </si>
  <si>
    <t>Washington University News - Climate</t>
  </si>
  <si>
    <t>https://www.washington.edu/news/category/environment/feed/</t>
  </si>
  <si>
    <t>Washington University News - Science</t>
  </si>
  <si>
    <t>https://www.washington.edu/news/category/science/feed/</t>
  </si>
  <si>
    <t>Washington University News - Technology</t>
  </si>
  <si>
    <t>https://www.washington.edu/news/category/technology/feed/</t>
  </si>
  <si>
    <t>IsNews Value</t>
  </si>
  <si>
    <t>Categories</t>
  </si>
  <si>
    <t>Number of Sources</t>
  </si>
  <si>
    <t>Wiki Categories</t>
  </si>
  <si>
    <t>Notes</t>
  </si>
  <si>
    <t>Method</t>
  </si>
  <si>
    <t>Number</t>
  </si>
  <si>
    <t>%</t>
  </si>
  <si>
    <t>TBD</t>
  </si>
  <si>
    <t>Total</t>
  </si>
  <si>
    <t>Source Type</t>
  </si>
  <si>
    <t>Progress</t>
  </si>
  <si>
    <t>Culture</t>
  </si>
  <si>
    <t>Gardening</t>
  </si>
  <si>
    <t>Education</t>
  </si>
  <si>
    <t>Energy</t>
  </si>
  <si>
    <t>https://en.wikipedia.org/wiki/Category:Main_topic_classifications</t>
  </si>
  <si>
    <t>https://en.wikipedia.org/wiki/Category:Architecture</t>
  </si>
  <si>
    <t>https://en.wikipedia.org/wiki/Category:Architectural_design</t>
  </si>
  <si>
    <t>https://en.wikipedia.org/wiki/Category:Museum_design</t>
  </si>
  <si>
    <t>https://en.wikipedia.org/wiki/Category:The_arts</t>
  </si>
  <si>
    <t>https://en.wikipedia.org/wiki/Category:Art_history</t>
  </si>
  <si>
    <t>https://en.wikipedia.org/wiki/Category:Business</t>
  </si>
  <si>
    <t>https://en.wikipedia.org/wiki/Category:Cryptocurrencies</t>
  </si>
  <si>
    <t>https://en.wikipedia.org/wiki/Category:Blockchains</t>
  </si>
  <si>
    <t>https://en.wikipedia.org/wiki/Category:Design</t>
  </si>
  <si>
    <t>https://en.wikipedia.org/wiki/Category:Environments</t>
  </si>
  <si>
    <t>https://en.wikipedia.org/wiki/Category:Global_environmental_issues</t>
  </si>
  <si>
    <t>https://en.wikipedia.org/wiki/Category:Clothing</t>
  </si>
  <si>
    <t>https://en.wikipedia.org/wiki/Category:Fashion</t>
  </si>
  <si>
    <t>https://en.wikipedia.org/wiki/Category:Film</t>
  </si>
  <si>
    <t>https://en.wikipedia.org/wiki/Category:Economy</t>
  </si>
  <si>
    <t>https://en.wikipedia.org/wiki/Category:International_taxation</t>
  </si>
  <si>
    <t>https://en.wikipedia.org/wiki/Category:Food_and_drink</t>
  </si>
  <si>
    <t>https://en.wikipedia.org/wiki/Category:Gaming</t>
  </si>
  <si>
    <t>https://en.wikipedia.org/wiki/Category:History</t>
  </si>
  <si>
    <t>https://en.wikipedia.org/wiki/Category:Geography</t>
  </si>
  <si>
    <t>https://en.wikipedia.org/wiki/Category:Politics</t>
  </si>
  <si>
    <t>https://en.wikipedia.org/wiki/Category:Government</t>
  </si>
  <si>
    <t>https://en.wikipedia.org/wiki/Category:Culture</t>
  </si>
  <si>
    <t>https://en.wikipedia.org/wiki/Category:Language</t>
  </si>
  <si>
    <t>https://en.wikipedia.org/wiki/Category:Health</t>
  </si>
  <si>
    <t>https://en.wikipedia.org/wiki/Category:Music</t>
  </si>
  <si>
    <t>https://en.wikipedia.org/wiki/Category:Universe</t>
  </si>
  <si>
    <t>https://en.wikipedia.org/wiki/Category:Technology</t>
  </si>
  <si>
    <t>World News</t>
  </si>
  <si>
    <t>https://en.wikipedia.org/wiki/Category:Global_politics</t>
  </si>
  <si>
    <t>https://en.wikipedia.org/wiki/Category:Photography</t>
  </si>
  <si>
    <t>https://en.wikipedia.org/wiki/Category:Science</t>
  </si>
  <si>
    <t>https://en.wikipedia.org/wiki/Category:Psychology</t>
  </si>
  <si>
    <t>https://en.wikipedia.org/wiki/Category:Philosophy</t>
  </si>
  <si>
    <t>https://en.wikipedia.org/wiki/Category:Statistics</t>
  </si>
  <si>
    <t>Software Engineering</t>
  </si>
  <si>
    <t>https://en.wikipedia.org/wiki/Category:Software_engineering</t>
  </si>
  <si>
    <t>https://en.wikipedia.org/wiki/Category:Cars</t>
  </si>
  <si>
    <t>https://en.wikipedia.org/wiki/Category:Marketing</t>
  </si>
  <si>
    <t>https://en.wikipedia.org/wiki/Category:Advertising</t>
  </si>
  <si>
    <t>https://en.wikipedia.org/wiki/Category:User_interfaces</t>
  </si>
  <si>
    <t>https://en.wikipedia.org/wiki/Category:World</t>
  </si>
  <si>
    <t>https://en.wikipedia.org/wiki/Category:Computer_science</t>
  </si>
  <si>
    <t>https://en.wikipedia.org/wiki/Category:Literature</t>
  </si>
  <si>
    <t>https://en.wikipedia.org/wiki/Category:Biology</t>
  </si>
  <si>
    <t>New York Times</t>
  </si>
  <si>
    <t>https://www.nytimes.com/</t>
  </si>
  <si>
    <t>Param</t>
  </si>
  <si>
    <t>WSJ - What's News</t>
  </si>
  <si>
    <t>https://kill-the-newsletter.com/feeds/qbh4c2lm1i04r8h5.xml</t>
  </si>
  <si>
    <t>Just confirmed email address</t>
  </si>
  <si>
    <t>NYT - The Morning</t>
  </si>
  <si>
    <t>I only received one and then i started getting a bunch of ads</t>
  </si>
  <si>
    <t>WP - The Tech Friend</t>
  </si>
  <si>
    <t>https://kill-the-newsletter.com/feeds/qkwuqromrjheulk9.xml</t>
  </si>
  <si>
    <t>It works, but you have to filter out ads</t>
  </si>
  <si>
    <t>Filter by "The Tech Friend:", example title: The Tech Friend: Kick your tech habit</t>
  </si>
  <si>
    <t>WP - Climate Change</t>
  </si>
  <si>
    <t>https://kill-the-newsletter.com/feeds/rj24j7yf46u78sei.xml</t>
  </si>
  <si>
    <t>Just created</t>
  </si>
  <si>
    <t>Startfor</t>
  </si>
  <si>
    <t>https://worldview.stratfor.com/</t>
  </si>
  <si>
    <t>Vogue</t>
  </si>
  <si>
    <t>vogue.com</t>
  </si>
  <si>
    <t>Reason</t>
  </si>
  <si>
    <t>Bloomberg - Matt Levine</t>
  </si>
  <si>
    <t>https://www.bloomberg.com/opinion/authors/ARbTQlRLRjE/matthew-s-levine</t>
  </si>
  <si>
    <t>Bloomberg - Noah Smith</t>
  </si>
  <si>
    <t>https://www.bloomberg.com/authors/AR3OYuAmvcU/noah-smith</t>
  </si>
  <si>
    <t>Brittanica</t>
  </si>
  <si>
    <t>Lit Hub</t>
  </si>
  <si>
    <t>https://lithub.com/</t>
  </si>
  <si>
    <t>Letters from an American</t>
  </si>
  <si>
    <t>https://heathercoxrichardson.substack.com/</t>
  </si>
  <si>
    <t>Berkeley Edu</t>
  </si>
  <si>
    <t>Danish Architecture Center</t>
  </si>
  <si>
    <t>https://dac.dk/en/knowledgebase/architecture/</t>
  </si>
  <si>
    <t>Texas Monthly</t>
  </si>
  <si>
    <t>https://www.texasmonthly.com/</t>
  </si>
  <si>
    <t>Too local for now</t>
  </si>
  <si>
    <t>Bicylcing</t>
  </si>
  <si>
    <t>https://www.bicycling.com/</t>
  </si>
  <si>
    <t>Need new category (fitness)</t>
  </si>
  <si>
    <t>The Cut</t>
  </si>
  <si>
    <t>https://www.thecut.com/</t>
  </si>
  <si>
    <t>Too much tabloid bs</t>
  </si>
  <si>
    <t>Draw Together</t>
  </si>
  <si>
    <t>https://club.drawtogether.studio/</t>
  </si>
  <si>
    <t>Substack paid account</t>
  </si>
  <si>
    <t>High Country News</t>
  </si>
  <si>
    <t>https://www.hcn.org/</t>
  </si>
  <si>
    <t>Paywall banner so annoying and yellow</t>
  </si>
  <si>
    <t>Marketing Week</t>
  </si>
  <si>
    <t>https://www.marketingweek.com/</t>
  </si>
  <si>
    <t>Paywall rightaway</t>
  </si>
  <si>
    <t>Discover magazine</t>
  </si>
  <si>
    <t>https://discovermagazine.com/</t>
  </si>
  <si>
    <t>Paywall banner so annnoying and red</t>
  </si>
  <si>
    <t>NYT</t>
  </si>
  <si>
    <t>Uses metered paywall so can't come up with a rule</t>
  </si>
  <si>
    <t>WSJ</t>
  </si>
  <si>
    <t>https://www.wsj.com/</t>
  </si>
  <si>
    <t>Field and Stream</t>
  </si>
  <si>
    <t>https://www.fieldandstream.com/</t>
  </si>
  <si>
    <t>Hunting magazine - need new category</t>
  </si>
  <si>
    <t>99 Percent Invisible</t>
  </si>
  <si>
    <t>https://99percentinvisible.org/</t>
  </si>
  <si>
    <t>Stopped publishing articles and now mainly does podcasts</t>
  </si>
  <si>
    <t>ACS</t>
  </si>
  <si>
    <t>https://www.acs.org/</t>
  </si>
  <si>
    <t>RSS feed not working and no news api hits</t>
  </si>
  <si>
    <t>Badass of the week</t>
  </si>
  <si>
    <t>https://www.badassoftheweek.com/</t>
  </si>
  <si>
    <t>Context News</t>
  </si>
  <si>
    <t>https://www.context.news/</t>
  </si>
  <si>
    <t>Leibal</t>
  </si>
  <si>
    <t>https://leibal.com/</t>
  </si>
  <si>
    <t>Lww</t>
  </si>
  <si>
    <t>https://lww.com/</t>
  </si>
  <si>
    <t>Novella Mag</t>
  </si>
  <si>
    <t>https://novellamag.com/</t>
  </si>
  <si>
    <t>Why Not Hugo</t>
  </si>
  <si>
    <t>https://whynothugo.nl/</t>
  </si>
  <si>
    <t>Unherd</t>
  </si>
  <si>
    <t>https://unherd.com/</t>
  </si>
  <si>
    <t>A bit too much politics, also no news api even tho they only have one free article</t>
  </si>
  <si>
    <t>The Design Chaser</t>
  </si>
  <si>
    <t>https://www.thedesignchaser.com/</t>
  </si>
  <si>
    <t>Architzer</t>
  </si>
  <si>
    <t>https://architizer.com/</t>
  </si>
  <si>
    <t>Beatportal</t>
  </si>
  <si>
    <t>https://www.beatportal.com/</t>
  </si>
  <si>
    <t>Calvert Journal</t>
  </si>
  <si>
    <t>https://www.calvertjournal.com/</t>
  </si>
  <si>
    <t>Error Statistics</t>
  </si>
  <si>
    <t>https://errorstatistics.com/</t>
  </si>
  <si>
    <t>IISS</t>
  </si>
  <si>
    <t>https://www.iiss.org/</t>
  </si>
  <si>
    <t>Savior Flair</t>
  </si>
  <si>
    <t>https://www.savoirflair.com/</t>
  </si>
  <si>
    <t>Behance</t>
  </si>
  <si>
    <t>https://www.behance.net/</t>
  </si>
  <si>
    <t>Not really articles</t>
  </si>
  <si>
    <t>Science Direct</t>
  </si>
  <si>
    <t>https://www.sciencedirect.com/</t>
  </si>
  <si>
    <t>not sure how i can create the rss feed and no news api hits</t>
  </si>
  <si>
    <t>The Met Toah Essays</t>
  </si>
  <si>
    <t>https://www.metmuseum.org/</t>
  </si>
  <si>
    <t>World Architects</t>
  </si>
  <si>
    <t>https://www.world-architects.com/</t>
  </si>
  <si>
    <t>But does it float</t>
  </si>
  <si>
    <t>https://butdoesitfloat.com/</t>
  </si>
  <si>
    <t>Interface in Game</t>
  </si>
  <si>
    <t>https://interfaceingame.com/</t>
  </si>
  <si>
    <t>Studio Binder Blog</t>
  </si>
  <si>
    <t>https://www.studiobinder.com/</t>
  </si>
  <si>
    <t>Inspiration Grid</t>
  </si>
  <si>
    <t>https://theinspirationgrid.com/</t>
  </si>
  <si>
    <t>SPSP Character and Context</t>
  </si>
  <si>
    <t>https://spsp.org/</t>
  </si>
  <si>
    <t>The Art Story Org</t>
  </si>
  <si>
    <t>https://www.theartstory.org/</t>
  </si>
  <si>
    <t>United States Holocaust Memorial Museum</t>
  </si>
  <si>
    <t>https://encyclopedia.ushmm.org/</t>
  </si>
  <si>
    <t>The Dreamstress</t>
  </si>
  <si>
    <t>https://thedreamstress.com/</t>
  </si>
  <si>
    <t>UNDP</t>
  </si>
  <si>
    <t>https://www.undp.org/</t>
  </si>
  <si>
    <t>Fashion Era</t>
  </si>
  <si>
    <t>https://fashion-era.com/</t>
  </si>
  <si>
    <t>Hopkins Medicine</t>
  </si>
  <si>
    <t>https://www.hopkinsmedicine.org/</t>
  </si>
  <si>
    <t>Squashed Philosophers</t>
  </si>
  <si>
    <t>http://sqapo.com/</t>
  </si>
  <si>
    <t>CRPG Addict</t>
  </si>
  <si>
    <t>http://crpgaddict.blogspot.com/</t>
  </si>
  <si>
    <t>Artland magazine</t>
  </si>
  <si>
    <t>https://magazine.artland.com/</t>
  </si>
  <si>
    <t>Philosophy Bro</t>
  </si>
  <si>
    <t>https://www.philosophybro.com/</t>
  </si>
  <si>
    <t>UX Collective</t>
  </si>
  <si>
    <t>https://uxdesign.cc/</t>
  </si>
  <si>
    <t>Medium</t>
  </si>
  <si>
    <t>Al Jazzera</t>
  </si>
  <si>
    <t>https://www.aljazeera.com/</t>
  </si>
  <si>
    <t>No individual RSS feeds and fetch rss does not work</t>
  </si>
  <si>
    <t>Feature shoot</t>
  </si>
  <si>
    <t>https://www.featureshoot.com/</t>
  </si>
  <si>
    <t>Need to share sign up</t>
  </si>
  <si>
    <t>The Ankler</t>
  </si>
  <si>
    <t>https://theankler.com/</t>
  </si>
  <si>
    <t>Too much paid content (substack)</t>
  </si>
  <si>
    <t>Englesberg Ideas</t>
  </si>
  <si>
    <t>https://engelsbergideas.com/</t>
  </si>
  <si>
    <t>No ads, but can't find rss feed and no news api hits</t>
  </si>
  <si>
    <t>The Free Press</t>
  </si>
  <si>
    <t>https://www.thefp.com/</t>
  </si>
  <si>
    <t>Bit too much politics</t>
  </si>
  <si>
    <t>The Drift</t>
  </si>
  <si>
    <t>https://www.thedriftmag.com/</t>
  </si>
  <si>
    <t>Paywall of three articles...per life time?</t>
  </si>
  <si>
    <t>Paper Magazine</t>
  </si>
  <si>
    <t>https://www.papermag.com/fashion/</t>
  </si>
  <si>
    <t>Too much celebrity gossip, but fashion has good content without much ads, but fetch rss does not work</t>
  </si>
  <si>
    <t>Heteredox</t>
  </si>
  <si>
    <t>https://heterodoxacademy.org/</t>
  </si>
  <si>
    <t>Too much identity politics</t>
  </si>
  <si>
    <t>History News network</t>
  </si>
  <si>
    <t>https://historynewsnetwork.org/</t>
  </si>
  <si>
    <t>Not mobile responsive</t>
  </si>
  <si>
    <t>Wallpaper - Tourism</t>
  </si>
  <si>
    <t>https://www.wallpaper.com/travel</t>
  </si>
  <si>
    <t>No travel category</t>
  </si>
  <si>
    <t>TV tropes</t>
  </si>
  <si>
    <t>https://tvtropes.org/pmwiki/pmwiki.php/Main/RitualMagic</t>
  </si>
  <si>
    <t>Seems like a wiki - need a way to download all of its content</t>
  </si>
  <si>
    <t>Airways Mag</t>
  </si>
  <si>
    <t>https://airwaysmag.com/</t>
  </si>
  <si>
    <t>The toggle button is annoying</t>
  </si>
  <si>
    <t>Pent Awards</t>
  </si>
  <si>
    <t>https://pentawards.com/</t>
  </si>
  <si>
    <t>The top nav bar is way too big</t>
  </si>
  <si>
    <t>Airliner Ratings</t>
  </si>
  <si>
    <t>https://www.airlineratings.com/</t>
  </si>
  <si>
    <t>Ads in the end of the article that is hard to distinguish from the actual article</t>
  </si>
  <si>
    <t>The RSA</t>
  </si>
  <si>
    <t>https://www.thersa.org/</t>
  </si>
  <si>
    <t>It's hard to categorize the articles</t>
  </si>
  <si>
    <t>Euractiv</t>
  </si>
  <si>
    <t>https://www.euractiv.com/</t>
  </si>
  <si>
    <t>The yellow nav bar is in the middle of the article</t>
  </si>
  <si>
    <t>Morgan Lewis - Publications</t>
  </si>
  <si>
    <t>https://www.morganlewis.com/our-thinking</t>
  </si>
  <si>
    <t>Hard to categorize the articles (also missing legal category)</t>
  </si>
  <si>
    <t>MIT Media Lab</t>
  </si>
  <si>
    <t>https://www.media.mit.edu/</t>
  </si>
  <si>
    <t>Fetch RSS does not work and news api also does not work</t>
  </si>
  <si>
    <t>Art UK</t>
  </si>
  <si>
    <t>https://artuk.org/</t>
  </si>
  <si>
    <t>Philsophy Mind Science</t>
  </si>
  <si>
    <t>https://philosophymindscience.org/index.php/phimisci/index</t>
  </si>
  <si>
    <t>Board Game Design Course</t>
  </si>
  <si>
    <t>boardgamedesigncourse.com</t>
  </si>
  <si>
    <t>Loading time too long</t>
  </si>
  <si>
    <t>Interesting Engineering</t>
  </si>
  <si>
    <t>https://interestingengineering.com/</t>
  </si>
  <si>
    <t>Too many ads and pop ups</t>
  </si>
  <si>
    <t>Weatherlogy Articles</t>
  </si>
  <si>
    <t>http://weatherology.com/trending/all-articles/</t>
  </si>
  <si>
    <t>Chave Chase Co</t>
  </si>
  <si>
    <t>https://chasechase.co/</t>
  </si>
  <si>
    <t>Novel Suspects</t>
  </si>
  <si>
    <t>https://www.novelsuspects.com/</t>
  </si>
  <si>
    <t>The search bar is annoying</t>
  </si>
  <si>
    <t>Reuters</t>
  </si>
  <si>
    <t>https://www.reuters.com/technology/</t>
  </si>
  <si>
    <t>Business Insider</t>
  </si>
  <si>
    <t>https://www.businessinsider.com/</t>
  </si>
  <si>
    <t>Entreprenuer</t>
  </si>
  <si>
    <t>https://www.entrepreneur.com/</t>
  </si>
  <si>
    <t>https://www.britannica.com/</t>
  </si>
  <si>
    <t>BBC History Extra</t>
  </si>
  <si>
    <t>https://www.historyextra.com/</t>
  </si>
  <si>
    <t>Complex</t>
  </si>
  <si>
    <t>https://www.complex.com/</t>
  </si>
  <si>
    <t>Fast Company</t>
  </si>
  <si>
    <t>https://www.fastcompany.com/</t>
  </si>
  <si>
    <t>The Guardian</t>
  </si>
  <si>
    <t>https://www.theguardian.com/us</t>
  </si>
  <si>
    <t>Phoblographer</t>
  </si>
  <si>
    <t>https://www.thephoblographer.com/</t>
  </si>
  <si>
    <t>Bazaar</t>
  </si>
  <si>
    <t>harpersbazaar.com</t>
  </si>
  <si>
    <t>Esquire</t>
  </si>
  <si>
    <t>https://www.esquire.com/</t>
  </si>
  <si>
    <t>National Geographic</t>
  </si>
  <si>
    <t>https://www.nationalgeographic.com/</t>
  </si>
  <si>
    <t>The Book Riot</t>
  </si>
  <si>
    <t>https://bookriot.com/</t>
  </si>
  <si>
    <t>CNN</t>
  </si>
  <si>
    <t>https://edition.cnn.com/</t>
  </si>
  <si>
    <t>Associated Press</t>
  </si>
  <si>
    <t>apnews.com</t>
  </si>
  <si>
    <t>Politico</t>
  </si>
  <si>
    <t>https://www.politico.com/</t>
  </si>
  <si>
    <t>The spectator</t>
  </si>
  <si>
    <t>https://www.spectator.co.uk/</t>
  </si>
  <si>
    <t>Essence</t>
  </si>
  <si>
    <t>essence.com</t>
  </si>
  <si>
    <t>Elle</t>
  </si>
  <si>
    <t>elle.com</t>
  </si>
  <si>
    <t>The Zoe Report</t>
  </si>
  <si>
    <t>thezoereport.com</t>
  </si>
  <si>
    <t>iMore</t>
  </si>
  <si>
    <t>https://www.imore.com/</t>
  </si>
  <si>
    <t>Fashionista</t>
  </si>
  <si>
    <t>https://fashionista.com/</t>
  </si>
  <si>
    <t>Inverse</t>
  </si>
  <si>
    <t>https://www.inverse.com/</t>
  </si>
  <si>
    <t>The Week</t>
  </si>
  <si>
    <t>https://theweek.com/</t>
  </si>
  <si>
    <t>Simple Flying</t>
  </si>
  <si>
    <t>https://simpleflying.com/</t>
  </si>
  <si>
    <t>Healthcare IT News</t>
  </si>
  <si>
    <t>https://www.healthcareitnews.com/</t>
  </si>
  <si>
    <t>Architect Magazine</t>
  </si>
  <si>
    <t>https://www.architectmagazine.com/</t>
  </si>
  <si>
    <t>The Science Times Magazine</t>
  </si>
  <si>
    <t>https://www.sciencetimes.com/</t>
  </si>
  <si>
    <t>Mic</t>
  </si>
  <si>
    <t>https://www.mic.com/</t>
  </si>
  <si>
    <t>Publishers Weekly</t>
  </si>
  <si>
    <t>https://www.publishersweekly.com/pw/home/index.html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</si>
</sst>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  <scheme val="minor"/>
    </font>
    <font>
      <u/>
      <color rgb="FF0000FF"/>
      <name val="Arial"/>
    </font>
    <font>
      <u/>
      <color rgb="FF0000FF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9" xfId="0" applyFont="1" applyNumberFormat="1"/>
    <xf borderId="0" fillId="0" fontId="2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fetchrss.com/rss/63e4e4830f32204f7f522ad263f237f6e559a244b30bfde2.xml" TargetMode="External"/><Relationship Id="rId194" Type="http://schemas.openxmlformats.org/officeDocument/2006/relationships/hyperlink" Target="https://www.brokenpalate.com/" TargetMode="External"/><Relationship Id="rId193" Type="http://schemas.openxmlformats.org/officeDocument/2006/relationships/hyperlink" Target="https://bradmunchen.substack.com/feed" TargetMode="External"/><Relationship Id="rId192" Type="http://schemas.openxmlformats.org/officeDocument/2006/relationships/hyperlink" Target="https://newsapi.org/v2/everything?domains=" TargetMode="External"/><Relationship Id="rId191" Type="http://schemas.openxmlformats.org/officeDocument/2006/relationships/hyperlink" Target="https://www.bps.org.uk/psychologist" TargetMode="External"/><Relationship Id="rId187" Type="http://schemas.openxmlformats.org/officeDocument/2006/relationships/hyperlink" Target="https://boringappsec.substack.com/" TargetMode="External"/><Relationship Id="rId186" Type="http://schemas.openxmlformats.org/officeDocument/2006/relationships/hyperlink" Target="https://newsapi.org/v2/everything?domains=" TargetMode="External"/><Relationship Id="rId185" Type="http://schemas.openxmlformats.org/officeDocument/2006/relationships/hyperlink" Target="https://www.booooooom.com/" TargetMode="External"/><Relationship Id="rId184" Type="http://schemas.openxmlformats.org/officeDocument/2006/relationships/hyperlink" Target="https://www.booooooom.com/feed/" TargetMode="External"/><Relationship Id="rId189" Type="http://schemas.openxmlformats.org/officeDocument/2006/relationships/hyperlink" Target="https://newsapi.org/v2/everything?domains=" TargetMode="External"/><Relationship Id="rId188" Type="http://schemas.openxmlformats.org/officeDocument/2006/relationships/hyperlink" Target="https://bpando.org/" TargetMode="External"/><Relationship Id="rId183" Type="http://schemas.openxmlformats.org/officeDocument/2006/relationships/hyperlink" Target="https://newsapi.org/v2/everything?domains=" TargetMode="External"/><Relationship Id="rId182" Type="http://schemas.openxmlformats.org/officeDocument/2006/relationships/hyperlink" Target="https://www.blindfiveyearold.com/" TargetMode="External"/><Relationship Id="rId181" Type="http://schemas.openxmlformats.org/officeDocument/2006/relationships/hyperlink" Target="https://feeds2.feedburner.com/BlindFiveYearOld" TargetMode="External"/><Relationship Id="rId180" Type="http://schemas.openxmlformats.org/officeDocument/2006/relationships/hyperlink" Target="http://bitcoinmagazine.com/feed" TargetMode="External"/><Relationship Id="rId176" Type="http://schemas.openxmlformats.org/officeDocument/2006/relationships/hyperlink" Target="http://fetchrss.com/rss/63e4e4830f32204f7f522ad263e79c54586b8b0a9b075173.xml" TargetMode="External"/><Relationship Id="rId175" Type="http://schemas.openxmlformats.org/officeDocument/2006/relationships/hyperlink" Target="http://fetchrss.com/rss/63e4e4830f32204f7f522ad263e79ca5950625124a4f9922.xml" TargetMode="External"/><Relationship Id="rId174" Type="http://schemas.openxmlformats.org/officeDocument/2006/relationships/hyperlink" Target="http://fetchrss.com/rss/63e4e4830f32204f7f522ad263e79e99422ba16500288d02.xml" TargetMode="External"/><Relationship Id="rId173" Type="http://schemas.openxmlformats.org/officeDocument/2006/relationships/hyperlink" Target="http://fetchrss.com/rss/63e4e4830f32204f7f522ad263e79e7b2ec49c056143d1d2.xml" TargetMode="External"/><Relationship Id="rId179" Type="http://schemas.openxmlformats.org/officeDocument/2006/relationships/hyperlink" Target="https://newsapi.org/v2/everything?domains=" TargetMode="External"/><Relationship Id="rId178" Type="http://schemas.openxmlformats.org/officeDocument/2006/relationships/hyperlink" Target="http://bioscriptionblog.com/" TargetMode="External"/><Relationship Id="rId177" Type="http://schemas.openxmlformats.org/officeDocument/2006/relationships/hyperlink" Target="https://bioscriptionblog.com/feed/" TargetMode="External"/><Relationship Id="rId198" Type="http://schemas.openxmlformats.org/officeDocument/2006/relationships/hyperlink" Target="https://bldgblog.com/" TargetMode="External"/><Relationship Id="rId197" Type="http://schemas.openxmlformats.org/officeDocument/2006/relationships/hyperlink" Target="https://bldgblog.com/feed/" TargetMode="External"/><Relationship Id="rId196" Type="http://schemas.openxmlformats.org/officeDocument/2006/relationships/hyperlink" Target="https://newsapi.org/v2/everything?domains=" TargetMode="External"/><Relationship Id="rId195" Type="http://schemas.openxmlformats.org/officeDocument/2006/relationships/hyperlink" Target="https://www.brookings.edu/" TargetMode="External"/><Relationship Id="rId199" Type="http://schemas.openxmlformats.org/officeDocument/2006/relationships/hyperlink" Target="https://newsapi.org/v2/everything?domains=" TargetMode="External"/><Relationship Id="rId150" Type="http://schemas.openxmlformats.org/officeDocument/2006/relationships/hyperlink" Target="http://fetchrss.com/rss/63e4e4830f32204f7f522ad263e63b32a67d57290d79db32.xml" TargetMode="External"/><Relationship Id="rId392" Type="http://schemas.openxmlformats.org/officeDocument/2006/relationships/hyperlink" Target="https://elainewrites.substack.com/feed" TargetMode="External"/><Relationship Id="rId391" Type="http://schemas.openxmlformats.org/officeDocument/2006/relationships/hyperlink" Target="https://blog.eladgil.com/feed" TargetMode="External"/><Relationship Id="rId390" Type="http://schemas.openxmlformats.org/officeDocument/2006/relationships/hyperlink" Target="https://newsapi.org/v2/everything?domains=" TargetMode="External"/><Relationship Id="rId1" Type="http://schemas.openxmlformats.org/officeDocument/2006/relationships/hyperlink" Target="https://1000wordphilosophy.com/feed/" TargetMode="External"/><Relationship Id="rId2" Type="http://schemas.openxmlformats.org/officeDocument/2006/relationships/hyperlink" Target="https://1000wordphilosophy.com/" TargetMode="External"/><Relationship Id="rId3" Type="http://schemas.openxmlformats.org/officeDocument/2006/relationships/hyperlink" Target="https://newsapi.org/v2/everything?domains=" TargetMode="External"/><Relationship Id="rId149" Type="http://schemas.openxmlformats.org/officeDocument/2006/relationships/hyperlink" Target="http://fetchrss.com/rss/63e4e4830f32204f7f522ad263e63b56ac2ad61f1d2d7cc2.xml" TargetMode="External"/><Relationship Id="rId4" Type="http://schemas.openxmlformats.org/officeDocument/2006/relationships/hyperlink" Target="http://fetchrss.com/rss/63e4e4830f32204f7f522ad263ee1b8bcef662106d5cc7a2.xml" TargetMode="External"/><Relationship Id="rId148" Type="http://schemas.openxmlformats.org/officeDocument/2006/relationships/hyperlink" Target="http://fetchrss.com/rss/63e4e4830f32204f7f522ad263e63b98dccb962efb6c4512.xml" TargetMode="External"/><Relationship Id="rId1090" Type="http://schemas.openxmlformats.org/officeDocument/2006/relationships/hyperlink" Target="http://fetchrss.com/rss/63e4e4830f32204f7f522ad2640b2306350d6d22cc2e2842.xml" TargetMode="External"/><Relationship Id="rId1091" Type="http://schemas.openxmlformats.org/officeDocument/2006/relationships/hyperlink" Target="http://fetchrss.com/rss/63e4e4830f32204f7f522ad2640b2351e595ad1a4e5628a2.xml" TargetMode="External"/><Relationship Id="rId1092" Type="http://schemas.openxmlformats.org/officeDocument/2006/relationships/hyperlink" Target="http://fetchrss.com/rss/63e4e4830f32204f7f522ad2640b22cafa0c447cbd6fa512.xml" TargetMode="External"/><Relationship Id="rId1093" Type="http://schemas.openxmlformats.org/officeDocument/2006/relationships/hyperlink" Target="https://waltoriouswritesaboutgames.com/feed/" TargetMode="External"/><Relationship Id="rId1094" Type="http://schemas.openxmlformats.org/officeDocument/2006/relationships/hyperlink" Target="https://waltoriouswritesaboutgames.com/" TargetMode="External"/><Relationship Id="rId9" Type="http://schemas.openxmlformats.org/officeDocument/2006/relationships/hyperlink" Target="https://alistapart.com/" TargetMode="External"/><Relationship Id="rId143" Type="http://schemas.openxmlformats.org/officeDocument/2006/relationships/hyperlink" Target="http://fetchrss.com/rss/63e4e4830f32204f7f522ad263e6379c164cd60e4411ae22.xml" TargetMode="External"/><Relationship Id="rId385" Type="http://schemas.openxmlformats.org/officeDocument/2006/relationships/hyperlink" Target="https://www.edmunds.com/feeds/rss/articles.xml" TargetMode="External"/><Relationship Id="rId1095" Type="http://schemas.openxmlformats.org/officeDocument/2006/relationships/hyperlink" Target="https://newsapi.org/v2/everything?domains=" TargetMode="External"/><Relationship Id="rId142" Type="http://schemas.openxmlformats.org/officeDocument/2006/relationships/hyperlink" Target="http://fetchrss.com/rss/63e4e4830f32204f7f522ad263e63a74fa98821cde116a52.xml" TargetMode="External"/><Relationship Id="rId384" Type="http://schemas.openxmlformats.org/officeDocument/2006/relationships/hyperlink" Target="http://fetchrss.com/rss/63e4e4830f32204f7f522ad26407029c6aebcb6ebb721672.xml" TargetMode="External"/><Relationship Id="rId1096" Type="http://schemas.openxmlformats.org/officeDocument/2006/relationships/hyperlink" Target="https://watchliststocks.substack.com/feed" TargetMode="External"/><Relationship Id="rId141" Type="http://schemas.openxmlformats.org/officeDocument/2006/relationships/hyperlink" Target="http://fetchrss.com/rss/63e4e4830f32204f7f522ad263e63aabe87fa11fa329eed2.xml" TargetMode="External"/><Relationship Id="rId383" Type="http://schemas.openxmlformats.org/officeDocument/2006/relationships/hyperlink" Target="http://fetchrss.com/rss/63e4e4830f32204f7f522ad2640702c368ff2150ce53cad2.xml" TargetMode="External"/><Relationship Id="rId1097" Type="http://schemas.openxmlformats.org/officeDocument/2006/relationships/hyperlink" Target="https://www.weforum.org/" TargetMode="External"/><Relationship Id="rId140" Type="http://schemas.openxmlformats.org/officeDocument/2006/relationships/hyperlink" Target="http://feeds.bbci.co.uk/news/business/rss.xml" TargetMode="External"/><Relationship Id="rId382" Type="http://schemas.openxmlformats.org/officeDocument/2006/relationships/hyperlink" Target="http://fetchrss.com/rss/63e4e4830f32204f7f522ad26407025ac8ff064a71467162.xml" TargetMode="External"/><Relationship Id="rId1098" Type="http://schemas.openxmlformats.org/officeDocument/2006/relationships/hyperlink" Target="https://newsapi.org/v2/everything?domains=" TargetMode="External"/><Relationship Id="rId5" Type="http://schemas.openxmlformats.org/officeDocument/2006/relationships/hyperlink" Target="http://fetchrss.com/rss/63e4e4830f32204f7f522ad263ee1b60c4d226203e7db762.xml" TargetMode="External"/><Relationship Id="rId147" Type="http://schemas.openxmlformats.org/officeDocument/2006/relationships/hyperlink" Target="http://feeds.bbci.co.uk/news/health/rss.xml" TargetMode="External"/><Relationship Id="rId389" Type="http://schemas.openxmlformats.org/officeDocument/2006/relationships/hyperlink" Target="https://eiko-fried.com/" TargetMode="External"/><Relationship Id="rId1099" Type="http://schemas.openxmlformats.org/officeDocument/2006/relationships/hyperlink" Target="https://www.whowhatwear.com/rss" TargetMode="External"/><Relationship Id="rId6" Type="http://schemas.openxmlformats.org/officeDocument/2006/relationships/hyperlink" Target="https://www.6amgroup.com/" TargetMode="External"/><Relationship Id="rId146" Type="http://schemas.openxmlformats.org/officeDocument/2006/relationships/hyperlink" Target="http://fetchrss.com/rss/63e4e4830f32204f7f522ad263e63b05b2ed752a3f146122.xml" TargetMode="External"/><Relationship Id="rId388" Type="http://schemas.openxmlformats.org/officeDocument/2006/relationships/hyperlink" Target="https://eiko-fried.com/feed/" TargetMode="External"/><Relationship Id="rId7" Type="http://schemas.openxmlformats.org/officeDocument/2006/relationships/hyperlink" Target="https://newsapi.org/v2/everything?domains=" TargetMode="External"/><Relationship Id="rId145" Type="http://schemas.openxmlformats.org/officeDocument/2006/relationships/hyperlink" Target="http://fetchrss.com/rss/63e4e4830f32204f7f522ad263e63ad1ea1b741e8d618cb2.xml" TargetMode="External"/><Relationship Id="rId387" Type="http://schemas.openxmlformats.org/officeDocument/2006/relationships/hyperlink" Target="https://newsapi.org/v2/everything?domains=" TargetMode="External"/><Relationship Id="rId8" Type="http://schemas.openxmlformats.org/officeDocument/2006/relationships/hyperlink" Target="https://alistapart.com/main/feed/" TargetMode="External"/><Relationship Id="rId144" Type="http://schemas.openxmlformats.org/officeDocument/2006/relationships/hyperlink" Target="http://fetchrss.com/rss/63e4e4830f32204f7f522ad263e6399ee1e4de07290355b2.xml" TargetMode="External"/><Relationship Id="rId386" Type="http://schemas.openxmlformats.org/officeDocument/2006/relationships/hyperlink" Target="https://www.edmunds.com/car-news/" TargetMode="External"/><Relationship Id="rId381" Type="http://schemas.openxmlformats.org/officeDocument/2006/relationships/hyperlink" Target="http://fetchrss.com/rss/63e4e4830f32204f7f522ad264070220ed75a3133a4ed973.xml" TargetMode="External"/><Relationship Id="rId380" Type="http://schemas.openxmlformats.org/officeDocument/2006/relationships/hyperlink" Target="http://fetchrss.com/rss/63e4e4830f32204f7f522ad26407027b26803a4f993cd2d2.xml" TargetMode="External"/><Relationship Id="rId139" Type="http://schemas.openxmlformats.org/officeDocument/2006/relationships/hyperlink" Target="http://fetchrss.com/rss/63e4e4830f32204f7f522ad263e639fca9070616e03a3c32.xml" TargetMode="External"/><Relationship Id="rId138" Type="http://schemas.openxmlformats.org/officeDocument/2006/relationships/hyperlink" Target="http://fetchrss.com/rss/63e4e4830f32204f7f522ad263e639cf24148f16b4422df2.xml" TargetMode="External"/><Relationship Id="rId137" Type="http://schemas.openxmlformats.org/officeDocument/2006/relationships/hyperlink" Target="https://newsapi.org/v2/everything?domains=" TargetMode="External"/><Relationship Id="rId379" Type="http://schemas.openxmlformats.org/officeDocument/2006/relationships/hyperlink" Target="https://ez.substack.com/" TargetMode="External"/><Relationship Id="rId1080" Type="http://schemas.openxmlformats.org/officeDocument/2006/relationships/hyperlink" Target="https://newsapi.org/v2/everything?domains=" TargetMode="External"/><Relationship Id="rId1081" Type="http://schemas.openxmlformats.org/officeDocument/2006/relationships/hyperlink" Target="http://fetchrss.com/rss/63e4e4830f32204f7f522ad263edf730f313e44701722dc2.xml" TargetMode="External"/><Relationship Id="rId1082" Type="http://schemas.openxmlformats.org/officeDocument/2006/relationships/hyperlink" Target="http://fetchrss.com/rss/63e4e4830f32204f7f522ad263efb180574f56650e323d72.xml" TargetMode="External"/><Relationship Id="rId1083" Type="http://schemas.openxmlformats.org/officeDocument/2006/relationships/hyperlink" Target="https://cepr.org/voxeu" TargetMode="External"/><Relationship Id="rId132" Type="http://schemas.openxmlformats.org/officeDocument/2006/relationships/hyperlink" Target="http://fetchrss.com/rss/63e4e4830f32204f7f522ad263e6202e0b84d87c9f0cfbb2.xml" TargetMode="External"/><Relationship Id="rId374" Type="http://schemas.openxmlformats.org/officeDocument/2006/relationships/hyperlink" Target="https://econbrowser.com/feed" TargetMode="External"/><Relationship Id="rId1084" Type="http://schemas.openxmlformats.org/officeDocument/2006/relationships/hyperlink" Target="https://newsapi.org/v2/everything?domains=" TargetMode="External"/><Relationship Id="rId131" Type="http://schemas.openxmlformats.org/officeDocument/2006/relationships/hyperlink" Target="http://fetchrss.com/rss/63e4e4830f32204f7f522ad263e6214d72e99e13fe54f9b3.xml" TargetMode="External"/><Relationship Id="rId373" Type="http://schemas.openxmlformats.org/officeDocument/2006/relationships/hyperlink" Target="https://newsapi.org/v2/everything?domains=" TargetMode="External"/><Relationship Id="rId1085" Type="http://schemas.openxmlformats.org/officeDocument/2006/relationships/hyperlink" Target="http://fetchrss.com/rss/63e4e4830f32204f7f522ad2640b221869a7d75c4e3b5033.xml" TargetMode="External"/><Relationship Id="rId130" Type="http://schemas.openxmlformats.org/officeDocument/2006/relationships/hyperlink" Target="http://fetchrss.com/rss/63e4e4830f32204f7f522ad263e620df72e99e13fe54f9b2.xml" TargetMode="External"/><Relationship Id="rId372" Type="http://schemas.openxmlformats.org/officeDocument/2006/relationships/hyperlink" Target="https://ecfr.eu/" TargetMode="External"/><Relationship Id="rId1086" Type="http://schemas.openxmlformats.org/officeDocument/2006/relationships/hyperlink" Target="http://fetchrss.com/rss/63e4e4830f32204f7f522ad2640b22aee668d469642c0122.xml" TargetMode="External"/><Relationship Id="rId371" Type="http://schemas.openxmlformats.org/officeDocument/2006/relationships/hyperlink" Target="https://ecfr.eu/feed/" TargetMode="External"/><Relationship Id="rId1087" Type="http://schemas.openxmlformats.org/officeDocument/2006/relationships/hyperlink" Target="http://fetchrss.com/rss/63e4e4830f32204f7f522ad2640b226d9c596c031452c972.xml" TargetMode="External"/><Relationship Id="rId136" Type="http://schemas.openxmlformats.org/officeDocument/2006/relationships/hyperlink" Target="https://www.bankrate.com/" TargetMode="External"/><Relationship Id="rId378" Type="http://schemas.openxmlformats.org/officeDocument/2006/relationships/hyperlink" Target="https://newsapi.org/v2/everything?domains=" TargetMode="External"/><Relationship Id="rId1088" Type="http://schemas.openxmlformats.org/officeDocument/2006/relationships/hyperlink" Target="http://fetchrss.com/rss/63e4e4830f32204f7f522ad2640b237c2bb7bd0759455632.xml" TargetMode="External"/><Relationship Id="rId135" Type="http://schemas.openxmlformats.org/officeDocument/2006/relationships/hyperlink" Target="https://newsapi.org/v2/everything?domains=" TargetMode="External"/><Relationship Id="rId377" Type="http://schemas.openxmlformats.org/officeDocument/2006/relationships/hyperlink" Target="https://www.econlib.org/" TargetMode="External"/><Relationship Id="rId1089" Type="http://schemas.openxmlformats.org/officeDocument/2006/relationships/hyperlink" Target="http://fetchrss.com/rss/63e4e4830f32204f7f522ad2640b22e5e668d469642c0123.xml" TargetMode="External"/><Relationship Id="rId134" Type="http://schemas.openxmlformats.org/officeDocument/2006/relationships/hyperlink" Target="https://newsletter.banklesshq.com/" TargetMode="External"/><Relationship Id="rId376" Type="http://schemas.openxmlformats.org/officeDocument/2006/relationships/hyperlink" Target="https://newsapi.org/v2/everything?domains=" TargetMode="External"/><Relationship Id="rId133" Type="http://schemas.openxmlformats.org/officeDocument/2006/relationships/hyperlink" Target="https://newsletter.banklesshq.com/feed" TargetMode="External"/><Relationship Id="rId375" Type="http://schemas.openxmlformats.org/officeDocument/2006/relationships/hyperlink" Target="http://econbrowser.com/" TargetMode="External"/><Relationship Id="rId172" Type="http://schemas.openxmlformats.org/officeDocument/2006/relationships/hyperlink" Target="http://fetchrss.com/rss/63e4e4830f32204f7f522ad263e79e4d950625124a4f9923.xml" TargetMode="External"/><Relationship Id="rId171" Type="http://schemas.openxmlformats.org/officeDocument/2006/relationships/hyperlink" Target="http://fetchrss.com/rss/63e4e4830f32204f7f522ad263e79ed72524182a785abaf2.xml" TargetMode="External"/><Relationship Id="rId170" Type="http://schemas.openxmlformats.org/officeDocument/2006/relationships/hyperlink" Target="http://fetchrss.com/rss/63e4e4830f32204f7f522ad263e79bffa2579315ca7a7c22.xml" TargetMode="External"/><Relationship Id="rId165" Type="http://schemas.openxmlformats.org/officeDocument/2006/relationships/hyperlink" Target="https://notstatschat.rbind.io/" TargetMode="External"/><Relationship Id="rId164" Type="http://schemas.openxmlformats.org/officeDocument/2006/relationships/hyperlink" Target="https://notstatschat.rbind.io/index.xml" TargetMode="External"/><Relationship Id="rId163" Type="http://schemas.openxmlformats.org/officeDocument/2006/relationships/hyperlink" Target="https://newsapi.org/v2/everything?domains=" TargetMode="External"/><Relationship Id="rId162" Type="http://schemas.openxmlformats.org/officeDocument/2006/relationships/hyperlink" Target="https://benwatchesthings.com/" TargetMode="External"/><Relationship Id="rId169" Type="http://schemas.openxmlformats.org/officeDocument/2006/relationships/hyperlink" Target="http://fetchrss.com/rss/63e4e4830f32204f7f522ad263e79c85322e0a61956ef872.xml" TargetMode="External"/><Relationship Id="rId168" Type="http://schemas.openxmlformats.org/officeDocument/2006/relationships/hyperlink" Target="http://fetchrss.com/rss/63e4e4830f32204f7f522ad263e79eb3d04d1826e3131b32.xml" TargetMode="External"/><Relationship Id="rId167" Type="http://schemas.openxmlformats.org/officeDocument/2006/relationships/hyperlink" Target="https://mattstoller.substack.com/" TargetMode="External"/><Relationship Id="rId166" Type="http://schemas.openxmlformats.org/officeDocument/2006/relationships/hyperlink" Target="https://newsapi.org/v2/everything?domains=" TargetMode="External"/><Relationship Id="rId161" Type="http://schemas.openxmlformats.org/officeDocument/2006/relationships/hyperlink" Target="https://benwatchesthings.com/feed/" TargetMode="External"/><Relationship Id="rId160" Type="http://schemas.openxmlformats.org/officeDocument/2006/relationships/hyperlink" Target="https://newsapi.org/v2/everything?domains=" TargetMode="External"/><Relationship Id="rId159" Type="http://schemas.openxmlformats.org/officeDocument/2006/relationships/hyperlink" Target="https://www.bellingcat.com/" TargetMode="External"/><Relationship Id="rId154" Type="http://schemas.openxmlformats.org/officeDocument/2006/relationships/hyperlink" Target="http://fetchrss.com/rss/63e4e4830f32204f7f522ad263e638dcb471aa6b076891a2.xml" TargetMode="External"/><Relationship Id="rId396" Type="http://schemas.openxmlformats.org/officeDocument/2006/relationships/hyperlink" Target="https://erikhoel.substack.com/feed" TargetMode="External"/><Relationship Id="rId153" Type="http://schemas.openxmlformats.org/officeDocument/2006/relationships/hyperlink" Target="http://fetchrss.com/rss/63e4e4830f32204f7f522ad263e6385d4944af445c384332.xml" TargetMode="External"/><Relationship Id="rId395" Type="http://schemas.openxmlformats.org/officeDocument/2006/relationships/hyperlink" Target="https://newsapi.org/v2/everything?domains=" TargetMode="External"/><Relationship Id="rId152" Type="http://schemas.openxmlformats.org/officeDocument/2006/relationships/hyperlink" Target="http://feeds.bbci.co.uk/news/science_and_environment/rss.xml" TargetMode="External"/><Relationship Id="rId394" Type="http://schemas.openxmlformats.org/officeDocument/2006/relationships/hyperlink" Target="https://www.engadget.com/" TargetMode="External"/><Relationship Id="rId151" Type="http://schemas.openxmlformats.org/officeDocument/2006/relationships/hyperlink" Target="http://fetchrss.com/rss/63e4e4830f32204f7f522ad263e63a1e398038282f22a0a3.xml" TargetMode="External"/><Relationship Id="rId393" Type="http://schemas.openxmlformats.org/officeDocument/2006/relationships/hyperlink" Target="https://eliotpeper.substack.com/feed" TargetMode="External"/><Relationship Id="rId158" Type="http://schemas.openxmlformats.org/officeDocument/2006/relationships/hyperlink" Target="http://feeds.bbci.co.uk/news/world/rss.xml" TargetMode="External"/><Relationship Id="rId157" Type="http://schemas.openxmlformats.org/officeDocument/2006/relationships/hyperlink" Target="http://fetchrss.com/rss/63e4e4830f32204f7f522ad263e637684a2f436a1e594af2.xml" TargetMode="External"/><Relationship Id="rId399" Type="http://schemas.openxmlformats.org/officeDocument/2006/relationships/hyperlink" Target="https://eukaryotewritesblog.com/feed/" TargetMode="External"/><Relationship Id="rId156" Type="http://schemas.openxmlformats.org/officeDocument/2006/relationships/hyperlink" Target="http://feeds.bbci.co.uk/news/technology/rss.xml" TargetMode="External"/><Relationship Id="rId398" Type="http://schemas.openxmlformats.org/officeDocument/2006/relationships/hyperlink" Target="https://escapingflatland.substack.com/feed" TargetMode="External"/><Relationship Id="rId155" Type="http://schemas.openxmlformats.org/officeDocument/2006/relationships/hyperlink" Target="http://fetchrss.com/rss/63e4e4830f32204f7f522ad263e63a4219e9ce0e504f2b02.xml" TargetMode="External"/><Relationship Id="rId397" Type="http://schemas.openxmlformats.org/officeDocument/2006/relationships/hyperlink" Target="https://newsapi.org/v2/everything?domains=" TargetMode="External"/><Relationship Id="rId808" Type="http://schemas.openxmlformats.org/officeDocument/2006/relationships/hyperlink" Target="https://planetplanet.net/feed/" TargetMode="External"/><Relationship Id="rId807" Type="http://schemas.openxmlformats.org/officeDocument/2006/relationships/hyperlink" Target="https://plainmagazine.com/feed/" TargetMode="External"/><Relationship Id="rId806" Type="http://schemas.openxmlformats.org/officeDocument/2006/relationships/hyperlink" Target="https://newsapi.org/v2/everything?domains=" TargetMode="External"/><Relationship Id="rId805" Type="http://schemas.openxmlformats.org/officeDocument/2006/relationships/hyperlink" Target="https://pitchfork.com/" TargetMode="External"/><Relationship Id="rId809" Type="http://schemas.openxmlformats.org/officeDocument/2006/relationships/hyperlink" Target="https://planetplanet.net/" TargetMode="External"/><Relationship Id="rId800" Type="http://schemas.openxmlformats.org/officeDocument/2006/relationships/hyperlink" Target="https://physicstoday.scitation.org/journal/pto" TargetMode="External"/><Relationship Id="rId804" Type="http://schemas.openxmlformats.org/officeDocument/2006/relationships/hyperlink" Target="https://newsapi.org/v2/everything?domains=" TargetMode="External"/><Relationship Id="rId803" Type="http://schemas.openxmlformats.org/officeDocument/2006/relationships/hyperlink" Target="https://www.piratewires.com/" TargetMode="External"/><Relationship Id="rId802" Type="http://schemas.openxmlformats.org/officeDocument/2006/relationships/hyperlink" Target="https://www.piratewires.com/feed" TargetMode="External"/><Relationship Id="rId801" Type="http://schemas.openxmlformats.org/officeDocument/2006/relationships/hyperlink" Target="https://newsapi.org/v2/everything?domains=" TargetMode="External"/><Relationship Id="rId40" Type="http://schemas.openxmlformats.org/officeDocument/2006/relationships/hyperlink" Target="http://fetchrss.com/rss/63e4e4830f32204f7f522ad263e607ba56b5d31e8f596333.xml" TargetMode="External"/><Relationship Id="rId42" Type="http://schemas.openxmlformats.org/officeDocument/2006/relationships/hyperlink" Target="http://fetchrss.com/rss/63e4e4830f32204f7f522ad263e616de294d843069440282.xml" TargetMode="External"/><Relationship Id="rId41" Type="http://schemas.openxmlformats.org/officeDocument/2006/relationships/hyperlink" Target="http://fetchrss.com/rss/63e4e4830f32204f7f522ad263e607dda8ab93302a0f9d33.xml" TargetMode="External"/><Relationship Id="rId44" Type="http://schemas.openxmlformats.org/officeDocument/2006/relationships/hyperlink" Target="http://fetchrss.com/rss/63e4e4830f32204f7f522ad263e60acdbb50a54aa700b323.xml" TargetMode="External"/><Relationship Id="rId43" Type="http://schemas.openxmlformats.org/officeDocument/2006/relationships/hyperlink" Target="http://fetchrss.com/rss/63e4e4830f32204f7f522ad263e60c1ba4567b637e57e672.xml" TargetMode="External"/><Relationship Id="rId46" Type="http://schemas.openxmlformats.org/officeDocument/2006/relationships/hyperlink" Target="http://fetchrss.com/rss/63e4e4830f32204f7f522ad263e6081f6cf71341ae537ba3.xml" TargetMode="External"/><Relationship Id="rId45" Type="http://schemas.openxmlformats.org/officeDocument/2006/relationships/hyperlink" Target="http://fetchrss.com/rss/63e4e4830f32204f7f522ad263e607f650e7f332b777f7c2.xml" TargetMode="External"/><Relationship Id="rId509" Type="http://schemas.openxmlformats.org/officeDocument/2006/relationships/hyperlink" Target="https://www.highsnobiety.com/" TargetMode="External"/><Relationship Id="rId508" Type="http://schemas.openxmlformats.org/officeDocument/2006/relationships/hyperlink" Target="https://newsapi.org/v2/everything?domains=" TargetMode="External"/><Relationship Id="rId503" Type="http://schemas.openxmlformats.org/officeDocument/2006/relationships/hyperlink" Target="https://hbr.org/" TargetMode="External"/><Relationship Id="rId745" Type="http://schemas.openxmlformats.org/officeDocument/2006/relationships/hyperlink" Target="https://rss.nytimes.com/services/xml/rss/nyt/Business.xml" TargetMode="External"/><Relationship Id="rId987" Type="http://schemas.openxmlformats.org/officeDocument/2006/relationships/hyperlink" Target="https://www.thebrockovichreport.com/feed" TargetMode="External"/><Relationship Id="rId502" Type="http://schemas.openxmlformats.org/officeDocument/2006/relationships/hyperlink" Target="https://newsapi.org/v2/everything?domains=" TargetMode="External"/><Relationship Id="rId744" Type="http://schemas.openxmlformats.org/officeDocument/2006/relationships/hyperlink" Target="https://rss.nytimes.com/services/xml/rss/nyt/Books.xml" TargetMode="External"/><Relationship Id="rId986" Type="http://schemas.openxmlformats.org/officeDocument/2006/relationships/hyperlink" Target="http://fetchrss.com/rss/63e4e4830f32204f7f522ad2640b262aca80c756ab0c5643.xml" TargetMode="External"/><Relationship Id="rId501" Type="http://schemas.openxmlformats.org/officeDocument/2006/relationships/hyperlink" Target="https://www.harvard.edu/" TargetMode="External"/><Relationship Id="rId743" Type="http://schemas.openxmlformats.org/officeDocument/2006/relationships/hyperlink" Target="https://rss.nytimes.com/services/xml/rss/nyt/Arts.xml" TargetMode="External"/><Relationship Id="rId985" Type="http://schemas.openxmlformats.org/officeDocument/2006/relationships/hyperlink" Target="https://newsapi.org/v2/everything?domains=" TargetMode="External"/><Relationship Id="rId500" Type="http://schemas.openxmlformats.org/officeDocument/2006/relationships/hyperlink" Target="https://newsapi.org/v2/everything?domains=" TargetMode="External"/><Relationship Id="rId742" Type="http://schemas.openxmlformats.org/officeDocument/2006/relationships/hyperlink" Target="https://rss.nytimes.com/services/xml/rss/nyt/MediaandAdvertising.xml" TargetMode="External"/><Relationship Id="rId984" Type="http://schemas.openxmlformats.org/officeDocument/2006/relationships/hyperlink" Target="https://www.theatlantic.com/" TargetMode="External"/><Relationship Id="rId507" Type="http://schemas.openxmlformats.org/officeDocument/2006/relationships/hyperlink" Target="http://highscalability.com/" TargetMode="External"/><Relationship Id="rId749" Type="http://schemas.openxmlformats.org/officeDocument/2006/relationships/hyperlink" Target="https://rss.nytimes.com/services/xml/rss/nyt/DiningandWine.xml" TargetMode="External"/><Relationship Id="rId506" Type="http://schemas.openxmlformats.org/officeDocument/2006/relationships/hyperlink" Target="http://feeds.feedburner.com/HighScalability" TargetMode="External"/><Relationship Id="rId748" Type="http://schemas.openxmlformats.org/officeDocument/2006/relationships/hyperlink" Target="https://rss.nytimes.com/services/xml/rss/nyt/ArtandDesign.xml" TargetMode="External"/><Relationship Id="rId505" Type="http://schemas.openxmlformats.org/officeDocument/2006/relationships/hyperlink" Target="https://herbsundays.substack.com/feed" TargetMode="External"/><Relationship Id="rId747" Type="http://schemas.openxmlformats.org/officeDocument/2006/relationships/hyperlink" Target="https://rss.nytimes.com/services/xml/rss/nyt/Dealbook.xml" TargetMode="External"/><Relationship Id="rId989" Type="http://schemas.openxmlformats.org/officeDocument/2006/relationships/hyperlink" Target="https://thecinemaarchives.com/" TargetMode="External"/><Relationship Id="rId504" Type="http://schemas.openxmlformats.org/officeDocument/2006/relationships/hyperlink" Target="https://newsapi.org/v2/everything?domains=" TargetMode="External"/><Relationship Id="rId746" Type="http://schemas.openxmlformats.org/officeDocument/2006/relationships/hyperlink" Target="https://rss.nytimes.com/services/xml/rss/nyt/Dance.xml" TargetMode="External"/><Relationship Id="rId988" Type="http://schemas.openxmlformats.org/officeDocument/2006/relationships/hyperlink" Target="https://thecinemaarchives.com/feed/" TargetMode="External"/><Relationship Id="rId48" Type="http://schemas.openxmlformats.org/officeDocument/2006/relationships/hyperlink" Target="http://fetchrss.com/rss/63e4e4830f32204f7f522ad263e60a02e5c713397c438cb2.xml" TargetMode="External"/><Relationship Id="rId47" Type="http://schemas.openxmlformats.org/officeDocument/2006/relationships/hyperlink" Target="http://fetchrss.com/rss/63e4e4830f32204f7f522ad263e60a37a8a9302a7a1e59a2.xml" TargetMode="External"/><Relationship Id="rId49" Type="http://schemas.openxmlformats.org/officeDocument/2006/relationships/hyperlink" Target="http://fetchrss.com/rss/63e4e4830f32204f7f522ad263e60b6a1ba46d480213cda4.xml" TargetMode="External"/><Relationship Id="rId741" Type="http://schemas.openxmlformats.org/officeDocument/2006/relationships/hyperlink" Target="http://fetchrss.com/rss/63e4e4830f32204f7f522ad263e618f2d19caf2aca75d9b2.xml" TargetMode="External"/><Relationship Id="rId983" Type="http://schemas.openxmlformats.org/officeDocument/2006/relationships/hyperlink" Target="https://ambitiousdesigner.substack.com/" TargetMode="External"/><Relationship Id="rId740" Type="http://schemas.openxmlformats.org/officeDocument/2006/relationships/hyperlink" Target="http://fetchrss.com/rss/63e4e4830f32204f7f522ad263e61b7194c73a44e7315423.xml" TargetMode="External"/><Relationship Id="rId982" Type="http://schemas.openxmlformats.org/officeDocument/2006/relationships/hyperlink" Target="https://newsapi.org/v2/everything?domains=" TargetMode="External"/><Relationship Id="rId981" Type="http://schemas.openxmlformats.org/officeDocument/2006/relationships/hyperlink" Target="https://tflcar.com/" TargetMode="External"/><Relationship Id="rId980" Type="http://schemas.openxmlformats.org/officeDocument/2006/relationships/hyperlink" Target="http://fetchrss.com/rss/63e4e4830f32204f7f522ad263ee2b07aded4b32465d3c52.xml" TargetMode="External"/><Relationship Id="rId31" Type="http://schemas.openxmlformats.org/officeDocument/2006/relationships/hyperlink" Target="http://fetchrss.com/rss/63e4e4830f32204f7f522ad263e501aaa9d9d0035d1df503.xml" TargetMode="External"/><Relationship Id="rId30" Type="http://schemas.openxmlformats.org/officeDocument/2006/relationships/hyperlink" Target="http://fetchrss.com/rss/63e4e4830f32204f7f522ad263e50173367aea480e7fe0a3.xml" TargetMode="External"/><Relationship Id="rId33" Type="http://schemas.openxmlformats.org/officeDocument/2006/relationships/hyperlink" Target="http://fetchrss.com/rss/63e4e4830f32204f7f522ad263e6167ca37992785b3aa242.xml" TargetMode="External"/><Relationship Id="rId32" Type="http://schemas.openxmlformats.org/officeDocument/2006/relationships/hyperlink" Target="http://fetchrss.com/rss/63e4e4830f32204f7f522ad263e61657eb6e3d57c453ccb2.xml" TargetMode="External"/><Relationship Id="rId35" Type="http://schemas.openxmlformats.org/officeDocument/2006/relationships/hyperlink" Target="http://fetchrss.com/rss/63e4e4830f32204f7f522ad263e60bf3145b7a54072029c2.xml" TargetMode="External"/><Relationship Id="rId34" Type="http://schemas.openxmlformats.org/officeDocument/2006/relationships/hyperlink" Target="http://fetchrss.com/rss/63e4e4830f32204f7f522ad263e60bd65ecbd137940e46b2.xml" TargetMode="External"/><Relationship Id="rId739" Type="http://schemas.openxmlformats.org/officeDocument/2006/relationships/hyperlink" Target="http://fetchrss.com/rss/63e4e4830f32204f7f522ad263e619d850f36870d3405f52.xml" TargetMode="External"/><Relationship Id="rId734" Type="http://schemas.openxmlformats.org/officeDocument/2006/relationships/hyperlink" Target="http://fetchrss.com/rss/63e4e4830f32204f7f522ad263e61c0c73cb146f4e7be8b2.xml" TargetMode="External"/><Relationship Id="rId976" Type="http://schemas.openxmlformats.org/officeDocument/2006/relationships/hyperlink" Target="https://tedgioia.substack.com/feed" TargetMode="External"/><Relationship Id="rId733" Type="http://schemas.openxmlformats.org/officeDocument/2006/relationships/hyperlink" Target="http://fetchrss.com/rss/63e4e4830f32204f7f522ad263e618855bb08374a0395d23.xml" TargetMode="External"/><Relationship Id="rId975" Type="http://schemas.openxmlformats.org/officeDocument/2006/relationships/hyperlink" Target="https://newsapi.org/v2/everything?domains=" TargetMode="External"/><Relationship Id="rId732" Type="http://schemas.openxmlformats.org/officeDocument/2006/relationships/hyperlink" Target="http://fetchrss.com/rss/63e4e4830f32204f7f522ad263e61c33c0e3c13cca37f102.xml" TargetMode="External"/><Relationship Id="rId974" Type="http://schemas.openxmlformats.org/officeDocument/2006/relationships/hyperlink" Target="https://www.techspot.com/" TargetMode="External"/><Relationship Id="rId731" Type="http://schemas.openxmlformats.org/officeDocument/2006/relationships/hyperlink" Target="http://fetchrss.com/rss/63e4e4830f32204f7f522ad263e618b724a77e6ab92f0ff2.xml" TargetMode="External"/><Relationship Id="rId973" Type="http://schemas.openxmlformats.org/officeDocument/2006/relationships/hyperlink" Target="https://newsapi.org/v2/everything?domains=" TargetMode="External"/><Relationship Id="rId738" Type="http://schemas.openxmlformats.org/officeDocument/2006/relationships/hyperlink" Target="http://fetchrss.com/rss/63e4e4830f32204f7f522ad263e61958c96d5738f27d4692.xml" TargetMode="External"/><Relationship Id="rId737" Type="http://schemas.openxmlformats.org/officeDocument/2006/relationships/hyperlink" Target="http://fetchrss.com/rss/63e4e4830f32204f7f522ad263e61b7194c73a44e7315423.xml" TargetMode="External"/><Relationship Id="rId979" Type="http://schemas.openxmlformats.org/officeDocument/2006/relationships/hyperlink" Target="https://newsapi.org/v2/everything?domains=" TargetMode="External"/><Relationship Id="rId736" Type="http://schemas.openxmlformats.org/officeDocument/2006/relationships/hyperlink" Target="http://fetchrss.com/rss/63e4e4830f32204f7f522ad263e61937230c383740592282.xml" TargetMode="External"/><Relationship Id="rId978" Type="http://schemas.openxmlformats.org/officeDocument/2006/relationships/hyperlink" Target="https://terribleminds.com/" TargetMode="External"/><Relationship Id="rId735" Type="http://schemas.openxmlformats.org/officeDocument/2006/relationships/hyperlink" Target="http://fetchrss.com/rss/63e4e4830f32204f7f522ad263e61b4156ed154f54721602.xml" TargetMode="External"/><Relationship Id="rId977" Type="http://schemas.openxmlformats.org/officeDocument/2006/relationships/hyperlink" Target="https://terribleminds.com/feed/" TargetMode="External"/><Relationship Id="rId37" Type="http://schemas.openxmlformats.org/officeDocument/2006/relationships/hyperlink" Target="http://fetchrss.com/rss/63e4e4830f32204f7f522ad263e6079942e9410e936293d3.xml" TargetMode="External"/><Relationship Id="rId36" Type="http://schemas.openxmlformats.org/officeDocument/2006/relationships/hyperlink" Target="http://fetchrss.com/rss/63e4e4830f32204f7f522ad263e6077aa26f517b0c5d3673.xml" TargetMode="External"/><Relationship Id="rId39" Type="http://schemas.openxmlformats.org/officeDocument/2006/relationships/hyperlink" Target="http://fetchrss.com/rss/63e4e4830f32204f7f522ad263e61715a4f4dc7c4b303f12.xml" TargetMode="External"/><Relationship Id="rId38" Type="http://schemas.openxmlformats.org/officeDocument/2006/relationships/hyperlink" Target="http://fetchrss.com/rss/63e4e4830f32204f7f522ad263e60a9ae45a4474f638b0e2.xml" TargetMode="External"/><Relationship Id="rId730" Type="http://schemas.openxmlformats.org/officeDocument/2006/relationships/hyperlink" Target="http://fetchrss.com/rss/63e4e4830f32204f7f522ad263e619139d7746691e130f24.xml" TargetMode="External"/><Relationship Id="rId972" Type="http://schemas.openxmlformats.org/officeDocument/2006/relationships/hyperlink" Target="https://techcrunch.com/" TargetMode="External"/><Relationship Id="rId971" Type="http://schemas.openxmlformats.org/officeDocument/2006/relationships/hyperlink" Target="https://hannahritchie.substack.com/feed" TargetMode="External"/><Relationship Id="rId970" Type="http://schemas.openxmlformats.org/officeDocument/2006/relationships/hyperlink" Target="https://newsapi.org/v2/everything?domains=" TargetMode="External"/><Relationship Id="rId1114" Type="http://schemas.openxmlformats.org/officeDocument/2006/relationships/hyperlink" Target="https://newsapi.org/v2/everything?domains=" TargetMode="External"/><Relationship Id="rId1115" Type="http://schemas.openxmlformats.org/officeDocument/2006/relationships/hyperlink" Target="https://xeiaso.net/blog.rss" TargetMode="External"/><Relationship Id="rId20" Type="http://schemas.openxmlformats.org/officeDocument/2006/relationships/hyperlink" Target="https://adplist.substack.com/" TargetMode="External"/><Relationship Id="rId1116" Type="http://schemas.openxmlformats.org/officeDocument/2006/relationships/hyperlink" Target="http://xeiaso.net/" TargetMode="External"/><Relationship Id="rId1117" Type="http://schemas.openxmlformats.org/officeDocument/2006/relationships/hyperlink" Target="https://newsapi.org/v2/everything?domains=" TargetMode="External"/><Relationship Id="rId22" Type="http://schemas.openxmlformats.org/officeDocument/2006/relationships/hyperlink" Target="http://fetchrss.com/rss/63e4e4830f32204f7f522ad263e50036ade0d90afa291882.xml" TargetMode="External"/><Relationship Id="rId1118" Type="http://schemas.openxmlformats.org/officeDocument/2006/relationships/hyperlink" Target="http://fetchrss.com/rss/63e4e4830f32204f7f522ad263e78d4340099000405e78c2.xml" TargetMode="External"/><Relationship Id="rId21" Type="http://schemas.openxmlformats.org/officeDocument/2006/relationships/hyperlink" Target="http://fetchrss.com/rss/63e4e4830f32204f7f522ad263e60fd119614a5c7c717c43.xml" TargetMode="External"/><Relationship Id="rId1119" Type="http://schemas.openxmlformats.org/officeDocument/2006/relationships/hyperlink" Target="http://fetchrss.com/rss/63e4e4830f32204f7f522ad263e78cd8bfe3066f200b6892.xml" TargetMode="External"/><Relationship Id="rId24" Type="http://schemas.openxmlformats.org/officeDocument/2006/relationships/hyperlink" Target="https://fetchrss.com/generator/generate" TargetMode="External"/><Relationship Id="rId23" Type="http://schemas.openxmlformats.org/officeDocument/2006/relationships/hyperlink" Target="http://fetchrss.com/rss/63e4e4830f32204f7f522ad263e608a55859cf5bc60bbf22.xml" TargetMode="External"/><Relationship Id="rId525" Type="http://schemas.openxmlformats.org/officeDocument/2006/relationships/hyperlink" Target="https://indiegamesplus.com/" TargetMode="External"/><Relationship Id="rId767" Type="http://schemas.openxmlformats.org/officeDocument/2006/relationships/hyperlink" Target="https://www.overcomingbias.com/feed" TargetMode="External"/><Relationship Id="rId524" Type="http://schemas.openxmlformats.org/officeDocument/2006/relationships/hyperlink" Target="https://newsapi.org/v2/everything?domains=" TargetMode="External"/><Relationship Id="rId766" Type="http://schemas.openxmlformats.org/officeDocument/2006/relationships/hyperlink" Target="https://oneusefulthing.substack.com/feed" TargetMode="External"/><Relationship Id="rId523" Type="http://schemas.openxmlformats.org/officeDocument/2006/relationships/hyperlink" Target="https://increment.com/planning/reframing-tech-debt/" TargetMode="External"/><Relationship Id="rId765" Type="http://schemas.openxmlformats.org/officeDocument/2006/relationships/hyperlink" Target="https://rss.nytimes.com/services/xml/rss/nyt/World.xml" TargetMode="External"/><Relationship Id="rId522" Type="http://schemas.openxmlformats.org/officeDocument/2006/relationships/hyperlink" Target="https://increment.com/feed.xml" TargetMode="External"/><Relationship Id="rId764" Type="http://schemas.openxmlformats.org/officeDocument/2006/relationships/hyperlink" Target="https://rss.nytimes.com/services/xml/rss/nyt/Well.xml" TargetMode="External"/><Relationship Id="rId529" Type="http://schemas.openxmlformats.org/officeDocument/2006/relationships/hyperlink" Target="https://infrequently.org/feed/" TargetMode="External"/><Relationship Id="rId528" Type="http://schemas.openxmlformats.org/officeDocument/2006/relationships/hyperlink" Target="https://newsapi.org/v2/everything?domains=" TargetMode="External"/><Relationship Id="rId527" Type="http://schemas.openxmlformats.org/officeDocument/2006/relationships/hyperlink" Target="https://www.indiewire.com/" TargetMode="External"/><Relationship Id="rId769" Type="http://schemas.openxmlformats.org/officeDocument/2006/relationships/hyperlink" Target="https://newsapi.org/v2/everything?domains=" TargetMode="External"/><Relationship Id="rId526" Type="http://schemas.openxmlformats.org/officeDocument/2006/relationships/hyperlink" Target="https://newsapi.org/v2/everything?domains=" TargetMode="External"/><Relationship Id="rId768" Type="http://schemas.openxmlformats.org/officeDocument/2006/relationships/hyperlink" Target="https://www.overcomingbias.com/" TargetMode="External"/><Relationship Id="rId26" Type="http://schemas.openxmlformats.org/officeDocument/2006/relationships/hyperlink" Target="http://fetchrss.com/rss/63e4e4830f32204f7f522ad263e5012d50075c611005f1e2.xml" TargetMode="External"/><Relationship Id="rId25" Type="http://schemas.openxmlformats.org/officeDocument/2006/relationships/hyperlink" Target="http://fetchrss.com/rss/63e4e4830f32204f7f522ad263e500d2022fb9714c6725e2.xml" TargetMode="External"/><Relationship Id="rId28" Type="http://schemas.openxmlformats.org/officeDocument/2006/relationships/hyperlink" Target="http://fetchrss.com/rss/63e4e4830f32204f7f522ad263e61755c5c7ff053a2ec934.xml" TargetMode="External"/><Relationship Id="rId27" Type="http://schemas.openxmlformats.org/officeDocument/2006/relationships/hyperlink" Target="http://fetchrss.com/rss/63e4e4830f32204f7f522ad263e607341e3358554f2b6e43.xml" TargetMode="External"/><Relationship Id="rId521" Type="http://schemas.openxmlformats.org/officeDocument/2006/relationships/hyperlink" Target="https://newsapi.org/v2/everything?domains=" TargetMode="External"/><Relationship Id="rId763" Type="http://schemas.openxmlformats.org/officeDocument/2006/relationships/hyperlink" Target="https://rss.nytimes.com/services/xml/rss/nyt/Theater.xml" TargetMode="External"/><Relationship Id="rId1110" Type="http://schemas.openxmlformats.org/officeDocument/2006/relationships/hyperlink" Target="https://newsapi.org/v2/everything?domains=" TargetMode="External"/><Relationship Id="rId29" Type="http://schemas.openxmlformats.org/officeDocument/2006/relationships/hyperlink" Target="http://fetchrss.com/rss/63e4e4830f32204f7f522ad263e61625f24b942020732382.xml" TargetMode="External"/><Relationship Id="rId520" Type="http://schemas.openxmlformats.org/officeDocument/2006/relationships/hyperlink" Target="https://www.hrw.org/" TargetMode="External"/><Relationship Id="rId762" Type="http://schemas.openxmlformats.org/officeDocument/2006/relationships/hyperlink" Target="https://rss.nytimes.com/services/xml/rss/nyt/Television.xml" TargetMode="External"/><Relationship Id="rId1111" Type="http://schemas.openxmlformats.org/officeDocument/2006/relationships/hyperlink" Target="https://www.emro.who.int/index.php?option=com_mediarss&amp;feed_id=3&amp;format=raw" TargetMode="External"/><Relationship Id="rId761" Type="http://schemas.openxmlformats.org/officeDocument/2006/relationships/hyperlink" Target="https://rss.nytimes.com/services/xml/rss/nyt/MediaandAdvertising.xml" TargetMode="External"/><Relationship Id="rId1112" Type="http://schemas.openxmlformats.org/officeDocument/2006/relationships/hyperlink" Target="https://www.emro.who.int/index.php?option=com_mediarss&amp;feed_id=2&amp;format=raw&amp;utm_source=rss&amp;utm_medium=rssfeeds&amp;utm_campaign=emronews" TargetMode="External"/><Relationship Id="rId760" Type="http://schemas.openxmlformats.org/officeDocument/2006/relationships/hyperlink" Target="https://rss.nytimes.com/services/xml/rss/nyt/Space.xml" TargetMode="External"/><Relationship Id="rId1113" Type="http://schemas.openxmlformats.org/officeDocument/2006/relationships/hyperlink" Target="https://wwd.com/" TargetMode="External"/><Relationship Id="rId1103" Type="http://schemas.openxmlformats.org/officeDocument/2006/relationships/hyperlink" Target="https://wisdomofcrowds.live/rss/" TargetMode="External"/><Relationship Id="rId1104" Type="http://schemas.openxmlformats.org/officeDocument/2006/relationships/hyperlink" Target="https://woodyallen.substack.com/feed" TargetMode="External"/><Relationship Id="rId1105" Type="http://schemas.openxmlformats.org/officeDocument/2006/relationships/hyperlink" Target="https://worksinprogress.substack.com/feed" TargetMode="External"/><Relationship Id="rId1106" Type="http://schemas.openxmlformats.org/officeDocument/2006/relationships/hyperlink" Target="https://www.worksinprogress.co/" TargetMode="External"/><Relationship Id="rId11" Type="http://schemas.openxmlformats.org/officeDocument/2006/relationships/hyperlink" Target="https://anewsletter.alisoneroman.com/" TargetMode="External"/><Relationship Id="rId1107" Type="http://schemas.openxmlformats.org/officeDocument/2006/relationships/hyperlink" Target="https://newsapi.org/v2/everything?domains=" TargetMode="External"/><Relationship Id="rId10" Type="http://schemas.openxmlformats.org/officeDocument/2006/relationships/hyperlink" Target="https://newsapi.org/v2/everything?domains=" TargetMode="External"/><Relationship Id="rId1108" Type="http://schemas.openxmlformats.org/officeDocument/2006/relationships/hyperlink" Target="http://fetchrss.com/rss/63e4e4830f32204f7f522ad263eeafe280ca7e435520fe22.xml" TargetMode="External"/><Relationship Id="rId13" Type="http://schemas.openxmlformats.org/officeDocument/2006/relationships/hyperlink" Target="https://blog.asmartbear.com/" TargetMode="External"/><Relationship Id="rId1109" Type="http://schemas.openxmlformats.org/officeDocument/2006/relationships/hyperlink" Target="https://www.worldbank.org/en/home" TargetMode="External"/><Relationship Id="rId12" Type="http://schemas.openxmlformats.org/officeDocument/2006/relationships/hyperlink" Target="https://longform.asmartbear.com/index.xml" TargetMode="External"/><Relationship Id="rId519" Type="http://schemas.openxmlformats.org/officeDocument/2006/relationships/hyperlink" Target="https://newsapi.org/v2/everything?domains=" TargetMode="External"/><Relationship Id="rId514" Type="http://schemas.openxmlformats.org/officeDocument/2006/relationships/hyperlink" Target="https://newsapi.org/v2/everything?domains=" TargetMode="External"/><Relationship Id="rId756" Type="http://schemas.openxmlformats.org/officeDocument/2006/relationships/hyperlink" Target="https://rss.nytimes.com/services/xml/rss/nyt/Music.xml" TargetMode="External"/><Relationship Id="rId998" Type="http://schemas.openxmlformats.org/officeDocument/2006/relationships/hyperlink" Target="http://fetchrss.com/rss/63e4e4830f32204f7f522ad263efb5d0028c701d417f3e02.xml" TargetMode="External"/><Relationship Id="rId513" Type="http://schemas.openxmlformats.org/officeDocument/2006/relationships/hyperlink" Target="https://www.history.com/news" TargetMode="External"/><Relationship Id="rId755" Type="http://schemas.openxmlformats.org/officeDocument/2006/relationships/hyperlink" Target="https://rss.nytimes.com/services/xml/rss/nyt/Movies.xml" TargetMode="External"/><Relationship Id="rId997" Type="http://schemas.openxmlformats.org/officeDocument/2006/relationships/hyperlink" Target="https://theconversation.com/us/technology/articles.atom" TargetMode="External"/><Relationship Id="rId512" Type="http://schemas.openxmlformats.org/officeDocument/2006/relationships/hyperlink" Target="https://www.history.com/.rss/full/this-day-in-history" TargetMode="External"/><Relationship Id="rId754" Type="http://schemas.openxmlformats.org/officeDocument/2006/relationships/hyperlink" Target="https://rss.nytimes.com/services/xml/rss/nyt/Health.xml" TargetMode="External"/><Relationship Id="rId996" Type="http://schemas.openxmlformats.org/officeDocument/2006/relationships/hyperlink" Target="https://theconversation.com/us/health/articles.atom" TargetMode="External"/><Relationship Id="rId511" Type="http://schemas.openxmlformats.org/officeDocument/2006/relationships/hyperlink" Target="https://historyofwomen.substack.com/feed" TargetMode="External"/><Relationship Id="rId753" Type="http://schemas.openxmlformats.org/officeDocument/2006/relationships/hyperlink" Target="https://rss.nytimes.com/services/xml/rss/nyt/FashionandStyle.xml" TargetMode="External"/><Relationship Id="rId995" Type="http://schemas.openxmlformats.org/officeDocument/2006/relationships/hyperlink" Target="https://theconversation.com/us/ethics/articles.atom" TargetMode="External"/><Relationship Id="rId518" Type="http://schemas.openxmlformats.org/officeDocument/2006/relationships/hyperlink" Target="https://honestlywtf.com/" TargetMode="External"/><Relationship Id="rId517" Type="http://schemas.openxmlformats.org/officeDocument/2006/relationships/hyperlink" Target="http://fetchrss.com/rss/63e4e4830f32204f7f522ad263ef4df6b1438a58f31b8912.xml" TargetMode="External"/><Relationship Id="rId759" Type="http://schemas.openxmlformats.org/officeDocument/2006/relationships/hyperlink" Target="https://rss.nytimes.com/services/xml/rss/nyt/SmallBusiness.xml" TargetMode="External"/><Relationship Id="rId516" Type="http://schemas.openxmlformats.org/officeDocument/2006/relationships/hyperlink" Target="https://www.history.com/.rss/full/topics" TargetMode="External"/><Relationship Id="rId758" Type="http://schemas.openxmlformats.org/officeDocument/2006/relationships/hyperlink" Target="https://rss.nytimes.com/services/xml/rss/nyt/Science.xml" TargetMode="External"/><Relationship Id="rId515" Type="http://schemas.openxmlformats.org/officeDocument/2006/relationships/hyperlink" Target="https://www.history.com/.rss/full/news" TargetMode="External"/><Relationship Id="rId757" Type="http://schemas.openxmlformats.org/officeDocument/2006/relationships/hyperlink" Target="https://rss.nytimes.com/services/xml/rss/nyt/PersonalTech.xml" TargetMode="External"/><Relationship Id="rId999" Type="http://schemas.openxmlformats.org/officeDocument/2006/relationships/hyperlink" Target="https://www.criterion.com/current/posts" TargetMode="External"/><Relationship Id="rId15" Type="http://schemas.openxmlformats.org/officeDocument/2006/relationships/hyperlink" Target="https://abduzeedo.com/" TargetMode="External"/><Relationship Id="rId990" Type="http://schemas.openxmlformats.org/officeDocument/2006/relationships/hyperlink" Target="https://newsapi.org/v2/everything?domains=" TargetMode="External"/><Relationship Id="rId14" Type="http://schemas.openxmlformats.org/officeDocument/2006/relationships/hyperlink" Target="https://newsapi.org/v2/everything?domains=" TargetMode="External"/><Relationship Id="rId17" Type="http://schemas.openxmlformats.org/officeDocument/2006/relationships/hyperlink" Target="https://acoup.blog/feed/" TargetMode="External"/><Relationship Id="rId16" Type="http://schemas.openxmlformats.org/officeDocument/2006/relationships/hyperlink" Target="https://newsapi.org/v2/everything?domains=" TargetMode="External"/><Relationship Id="rId19" Type="http://schemas.openxmlformats.org/officeDocument/2006/relationships/hyperlink" Target="https://newsapi.org/v2/everything?domains=" TargetMode="External"/><Relationship Id="rId510" Type="http://schemas.openxmlformats.org/officeDocument/2006/relationships/hyperlink" Target="https://newsapi.org/v2/everything?domains=" TargetMode="External"/><Relationship Id="rId752" Type="http://schemas.openxmlformats.org/officeDocument/2006/relationships/hyperlink" Target="https://rss.nytimes.com/services/xml/rss/nyt/Climate.xml" TargetMode="External"/><Relationship Id="rId994" Type="http://schemas.openxmlformats.org/officeDocument/2006/relationships/hyperlink" Target="https://theconversation.com/us/environment/articles.atom" TargetMode="External"/><Relationship Id="rId18" Type="http://schemas.openxmlformats.org/officeDocument/2006/relationships/hyperlink" Target="https://acoup.blog/" TargetMode="External"/><Relationship Id="rId751" Type="http://schemas.openxmlformats.org/officeDocument/2006/relationships/hyperlink" Target="https://rss.nytimes.com/services/xml/rss/nyt/EnergyEnvironment.xml" TargetMode="External"/><Relationship Id="rId993" Type="http://schemas.openxmlformats.org/officeDocument/2006/relationships/hyperlink" Target="https://theconversation.com/us/business/articles.atom" TargetMode="External"/><Relationship Id="rId1100" Type="http://schemas.openxmlformats.org/officeDocument/2006/relationships/hyperlink" Target="https://willdowd.substack.com/feed" TargetMode="External"/><Relationship Id="rId750" Type="http://schemas.openxmlformats.org/officeDocument/2006/relationships/hyperlink" Target="https://rss.nytimes.com/services/xml/rss/nyt/Economy.xml" TargetMode="External"/><Relationship Id="rId992" Type="http://schemas.openxmlformats.org/officeDocument/2006/relationships/hyperlink" Target="https://newsapi.org/v2/everything?domains=" TargetMode="External"/><Relationship Id="rId1101" Type="http://schemas.openxmlformats.org/officeDocument/2006/relationships/hyperlink" Target="https://www.wired.com/" TargetMode="External"/><Relationship Id="rId991" Type="http://schemas.openxmlformats.org/officeDocument/2006/relationships/hyperlink" Target="https://theconversation.com/us/arts/articles.atom" TargetMode="External"/><Relationship Id="rId1102" Type="http://schemas.openxmlformats.org/officeDocument/2006/relationships/hyperlink" Target="https://newsapi.org/v2/everything?domains=" TargetMode="External"/><Relationship Id="rId84" Type="http://schemas.openxmlformats.org/officeDocument/2006/relationships/hyperlink" Target="http://fetchrss.com/rss/63e4e4830f32204f7f522ad263ef50174827df50f81a2c42.xml" TargetMode="External"/><Relationship Id="rId83" Type="http://schemas.openxmlformats.org/officeDocument/2006/relationships/hyperlink" Target="https://newsapi.org/v2/everything?domains=" TargetMode="External"/><Relationship Id="rId86" Type="http://schemas.openxmlformats.org/officeDocument/2006/relationships/hyperlink" Target="https://newsapi.org/v2/everything?domains=" TargetMode="External"/><Relationship Id="rId85" Type="http://schemas.openxmlformats.org/officeDocument/2006/relationships/hyperlink" Target="https://www.architectural-review.com/" TargetMode="External"/><Relationship Id="rId88" Type="http://schemas.openxmlformats.org/officeDocument/2006/relationships/hyperlink" Target="https://architecturetoday.co.uk/" TargetMode="External"/><Relationship Id="rId87" Type="http://schemas.openxmlformats.org/officeDocument/2006/relationships/hyperlink" Target="https://architecturetoday.co.uk/feed/" TargetMode="External"/><Relationship Id="rId89" Type="http://schemas.openxmlformats.org/officeDocument/2006/relationships/hyperlink" Target="https://newsapi.org/v2/everything?domains=" TargetMode="External"/><Relationship Id="rId709" Type="http://schemas.openxmlformats.org/officeDocument/2006/relationships/hyperlink" Target="https://newsapi.org/v2/everything?domains=" TargetMode="External"/><Relationship Id="rId708" Type="http://schemas.openxmlformats.org/officeDocument/2006/relationships/hyperlink" Target="https://newlinesmag.com/" TargetMode="External"/><Relationship Id="rId707" Type="http://schemas.openxmlformats.org/officeDocument/2006/relationships/hyperlink" Target="http://fetchrss.com/rss/63e4e4830f32204f7f522ad263efc10f5cbf0341f5122262.xml" TargetMode="External"/><Relationship Id="rId949" Type="http://schemas.openxmlformats.org/officeDocument/2006/relationships/hyperlink" Target="https://newsapi.org/v2/everything?domains=" TargetMode="External"/><Relationship Id="rId706" Type="http://schemas.openxmlformats.org/officeDocument/2006/relationships/hyperlink" Target="https://newsapi.org/v2/everything?domains=" TargetMode="External"/><Relationship Id="rId948" Type="http://schemas.openxmlformats.org/officeDocument/2006/relationships/hyperlink" Target="https://plato.stanford.edu/index.html" TargetMode="External"/><Relationship Id="rId80" Type="http://schemas.openxmlformats.org/officeDocument/2006/relationships/hyperlink" Target="http://fetchrss.com/rss/63e4e4830f32204f7f522ad263ee35611ad6186cae79a152.xml" TargetMode="External"/><Relationship Id="rId82" Type="http://schemas.openxmlformats.org/officeDocument/2006/relationships/hyperlink" Target="https://www.architecturaldigest.com/" TargetMode="External"/><Relationship Id="rId81" Type="http://schemas.openxmlformats.org/officeDocument/2006/relationships/hyperlink" Target="http://fetchrss.com/rss/63e4e4830f32204f7f522ad263eea904fa49b73a1d0498d2.xml" TargetMode="External"/><Relationship Id="rId701" Type="http://schemas.openxmlformats.org/officeDocument/2006/relationships/hyperlink" Target="http://neilvn.com/tangents/" TargetMode="External"/><Relationship Id="rId943" Type="http://schemas.openxmlformats.org/officeDocument/2006/relationships/hyperlink" Target="http://fetchrss.com/rss/63e4e4830f32204f7f522ad263e63f7c9e25af66286b70b2.xml" TargetMode="External"/><Relationship Id="rId700" Type="http://schemas.openxmlformats.org/officeDocument/2006/relationships/hyperlink" Target="http://feeds.feedburner.com/tangentsblog" TargetMode="External"/><Relationship Id="rId942" Type="http://schemas.openxmlformats.org/officeDocument/2006/relationships/hyperlink" Target="http://fetchrss.com/rss/63e4e4830f32204f7f522ad263e63eefc33459578b5fd922.xml" TargetMode="External"/><Relationship Id="rId941" Type="http://schemas.openxmlformats.org/officeDocument/2006/relationships/hyperlink" Target="https://newsapi.org/v2/everything?domains=" TargetMode="External"/><Relationship Id="rId940" Type="http://schemas.openxmlformats.org/officeDocument/2006/relationships/hyperlink" Target="https://stackoverflow.blog/" TargetMode="External"/><Relationship Id="rId705" Type="http://schemas.openxmlformats.org/officeDocument/2006/relationships/hyperlink" Target="https://www.newappsblog.com/" TargetMode="External"/><Relationship Id="rId947" Type="http://schemas.openxmlformats.org/officeDocument/2006/relationships/hyperlink" Target="https://plato.stanford.edu/rss/sep.xml" TargetMode="External"/><Relationship Id="rId704" Type="http://schemas.openxmlformats.org/officeDocument/2006/relationships/hyperlink" Target="https://www.newappsblog.com/atom.xml" TargetMode="External"/><Relationship Id="rId946" Type="http://schemas.openxmlformats.org/officeDocument/2006/relationships/hyperlink" Target="http://fetchrss.com/rss/63e4e4830f32204f7f522ad263e640a1798446131d462782.xml" TargetMode="External"/><Relationship Id="rId703" Type="http://schemas.openxmlformats.org/officeDocument/2006/relationships/hyperlink" Target="https://nemets.substack.com/feed" TargetMode="External"/><Relationship Id="rId945" Type="http://schemas.openxmlformats.org/officeDocument/2006/relationships/hyperlink" Target="http://fetchrss.com/rss/63e4e4830f32204f7f522ad263e6407540b79c565959ebe2.xml" TargetMode="External"/><Relationship Id="rId702" Type="http://schemas.openxmlformats.org/officeDocument/2006/relationships/hyperlink" Target="https://newsapi.org/v2/everything?domains=" TargetMode="External"/><Relationship Id="rId944" Type="http://schemas.openxmlformats.org/officeDocument/2006/relationships/hyperlink" Target="http://fetchrss.com/rss/63e4e4830f32204f7f522ad263e63feae1886f4166120c22.xml" TargetMode="External"/><Relationship Id="rId73" Type="http://schemas.openxmlformats.org/officeDocument/2006/relationships/hyperlink" Target="https://newsapi.org/v2/everything?domains=" TargetMode="External"/><Relationship Id="rId72" Type="http://schemas.openxmlformats.org/officeDocument/2006/relationships/hyperlink" Target="https://archinect.com/features" TargetMode="External"/><Relationship Id="rId75" Type="http://schemas.openxmlformats.org/officeDocument/2006/relationships/hyperlink" Target="http://fetchrss.com/rss/63e4e4830f32204f7f522ad263ee347c29537d51a91fad52.xml" TargetMode="External"/><Relationship Id="rId74" Type="http://schemas.openxmlformats.org/officeDocument/2006/relationships/hyperlink" Target="http://fetchrss.com/rss/63e4e4830f32204f7f522ad263ee34a5e6950b61ac0d50c2.xml" TargetMode="External"/><Relationship Id="rId77" Type="http://schemas.openxmlformats.org/officeDocument/2006/relationships/hyperlink" Target="https://www.architectsjournal.co.uk/" TargetMode="External"/><Relationship Id="rId76" Type="http://schemas.openxmlformats.org/officeDocument/2006/relationships/hyperlink" Target="http://fetchrss.com/rss/63e4e4830f32204f7f522ad263ee3442aba7b959ae708a42.xml" TargetMode="External"/><Relationship Id="rId79" Type="http://schemas.openxmlformats.org/officeDocument/2006/relationships/hyperlink" Target="http://fetchrss.com/rss/63e4e4830f32204f7f522ad263ee358d62008440865e9df2.xml" TargetMode="External"/><Relationship Id="rId78" Type="http://schemas.openxmlformats.org/officeDocument/2006/relationships/hyperlink" Target="https://newsapi.org/v2/everything?domains=" TargetMode="External"/><Relationship Id="rId939" Type="http://schemas.openxmlformats.org/officeDocument/2006/relationships/hyperlink" Target="https://newsapi.org/v2/everything?domains=" TargetMode="External"/><Relationship Id="rId938" Type="http://schemas.openxmlformats.org/officeDocument/2006/relationships/hyperlink" Target="https://spotify.design/" TargetMode="External"/><Relationship Id="rId937" Type="http://schemas.openxmlformats.org/officeDocument/2006/relationships/hyperlink" Target="http://fetchrss.com/rss/63e4e4830f32204f7f522ad263efb8c659393c0edf6e6c22.xml" TargetMode="External"/><Relationship Id="rId71" Type="http://schemas.openxmlformats.org/officeDocument/2006/relationships/hyperlink" Target="https://newsapi.org/v2/everything?domains=" TargetMode="External"/><Relationship Id="rId70" Type="http://schemas.openxmlformats.org/officeDocument/2006/relationships/hyperlink" Target="https://www.archdaily.com/" TargetMode="External"/><Relationship Id="rId932" Type="http://schemas.openxmlformats.org/officeDocument/2006/relationships/hyperlink" Target="https://newsapi.org/v2/everything?domains=" TargetMode="External"/><Relationship Id="rId931" Type="http://schemas.openxmlformats.org/officeDocument/2006/relationships/hyperlink" Target="https://spacenews.com/" TargetMode="External"/><Relationship Id="rId930" Type="http://schemas.openxmlformats.org/officeDocument/2006/relationships/hyperlink" Target="https://newsapi.org/v2/everything?domains=" TargetMode="External"/><Relationship Id="rId936" Type="http://schemas.openxmlformats.org/officeDocument/2006/relationships/hyperlink" Target="https://newsapi.org/v2/everything?domains=" TargetMode="External"/><Relationship Id="rId935" Type="http://schemas.openxmlformats.org/officeDocument/2006/relationships/hyperlink" Target="http://www.speedhunters.com/" TargetMode="External"/><Relationship Id="rId934" Type="http://schemas.openxmlformats.org/officeDocument/2006/relationships/hyperlink" Target="https://newsapi.org/v2/everything?domains=" TargetMode="External"/><Relationship Id="rId933" Type="http://schemas.openxmlformats.org/officeDocument/2006/relationships/hyperlink" Target="https://spaceref.com/" TargetMode="External"/><Relationship Id="rId62" Type="http://schemas.openxmlformats.org/officeDocument/2006/relationships/hyperlink" Target="https://www.cancer.org/" TargetMode="External"/><Relationship Id="rId61" Type="http://schemas.openxmlformats.org/officeDocument/2006/relationships/hyperlink" Target="http://fetchrss.com/rss/63e4e4830f32204f7f522ad263ee1f0774bf186bb5373de2.xml" TargetMode="External"/><Relationship Id="rId64" Type="http://schemas.openxmlformats.org/officeDocument/2006/relationships/hyperlink" Target="https://www.ancientoriginsunleashed.com/feed" TargetMode="External"/><Relationship Id="rId63" Type="http://schemas.openxmlformats.org/officeDocument/2006/relationships/hyperlink" Target="https://newsapi.org/v2/everything?domains=" TargetMode="External"/><Relationship Id="rId66" Type="http://schemas.openxmlformats.org/officeDocument/2006/relationships/hyperlink" Target="https://www.apa.org/monitor/" TargetMode="External"/><Relationship Id="rId65" Type="http://schemas.openxmlformats.org/officeDocument/2006/relationships/hyperlink" Target="http://fetchrss.com/rss/63e4e4830f32204f7f522ad263ee201c7b9f034c460a8762.xml" TargetMode="External"/><Relationship Id="rId68" Type="http://schemas.openxmlformats.org/officeDocument/2006/relationships/hyperlink" Target="https://appleinsider.com/" TargetMode="External"/><Relationship Id="rId67" Type="http://schemas.openxmlformats.org/officeDocument/2006/relationships/hyperlink" Target="https://newsapi.org/v2/everything?domains=" TargetMode="External"/><Relationship Id="rId729" Type="http://schemas.openxmlformats.org/officeDocument/2006/relationships/hyperlink" Target="http://fetchrss.com/rss/63e4e4830f32204f7f522ad263e6197e998a02783335c092.xml" TargetMode="External"/><Relationship Id="rId728" Type="http://schemas.openxmlformats.org/officeDocument/2006/relationships/hyperlink" Target="https://www.notboring.co/feed" TargetMode="External"/><Relationship Id="rId60" Type="http://schemas.openxmlformats.org/officeDocument/2006/relationships/hyperlink" Target="https://newsapi.org/v2/everything?domains=" TargetMode="External"/><Relationship Id="rId723" Type="http://schemas.openxmlformats.org/officeDocument/2006/relationships/hyperlink" Target="https://www.noemamag.com/feed/" TargetMode="External"/><Relationship Id="rId965" Type="http://schemas.openxmlformats.org/officeDocument/2006/relationships/hyperlink" Target="http://www.strangehistory.net/" TargetMode="External"/><Relationship Id="rId722" Type="http://schemas.openxmlformats.org/officeDocument/2006/relationships/hyperlink" Target="https://www.noemamag.com/article-topic/future-of-capitalism/" TargetMode="External"/><Relationship Id="rId964" Type="http://schemas.openxmlformats.org/officeDocument/2006/relationships/hyperlink" Target="https://www.strangehistory.net/feed/" TargetMode="External"/><Relationship Id="rId721" Type="http://schemas.openxmlformats.org/officeDocument/2006/relationships/hyperlink" Target="https://www.noemamag.com/article-topic/climate-crisis/feed/" TargetMode="External"/><Relationship Id="rId963" Type="http://schemas.openxmlformats.org/officeDocument/2006/relationships/hyperlink" Target="http://fetchrss.com/rss/63e4e4830f32204f7f522ad263ff4a19ff88071da2020922.xml" TargetMode="External"/><Relationship Id="rId720" Type="http://schemas.openxmlformats.org/officeDocument/2006/relationships/hyperlink" Target="https://www.noemamag.com/article-topic/digital-society/" TargetMode="External"/><Relationship Id="rId962" Type="http://schemas.openxmlformats.org/officeDocument/2006/relationships/hyperlink" Target="http://fetchrss.com/rss/63e4e4830f32204f7f522ad263ff49de700c7762f94169b2.xml" TargetMode="External"/><Relationship Id="rId727" Type="http://schemas.openxmlformats.org/officeDocument/2006/relationships/hyperlink" Target="http://fetchrss.com/rss/63e4e4830f32204f7f522ad263e791d080394507c466e0f4.xml" TargetMode="External"/><Relationship Id="rId969" Type="http://schemas.openxmlformats.org/officeDocument/2006/relationships/hyperlink" Target="https://stripe.com/" TargetMode="External"/><Relationship Id="rId726" Type="http://schemas.openxmlformats.org/officeDocument/2006/relationships/hyperlink" Target="http://fetchrss.com/rss/63e4e4830f32204f7f522ad263e791fadb568b225d0dc103.xml" TargetMode="External"/><Relationship Id="rId968" Type="http://schemas.openxmlformats.org/officeDocument/2006/relationships/hyperlink" Target="https://newsapi.org/v2/everything?domains=" TargetMode="External"/><Relationship Id="rId725" Type="http://schemas.openxmlformats.org/officeDocument/2006/relationships/hyperlink" Target="http://fetchrss.com/rss/63e4e4830f32204f7f522ad263e791ac80394507c466e0f3.xml" TargetMode="External"/><Relationship Id="rId967" Type="http://schemas.openxmlformats.org/officeDocument/2006/relationships/hyperlink" Target="https://stratechery.com/" TargetMode="External"/><Relationship Id="rId724" Type="http://schemas.openxmlformats.org/officeDocument/2006/relationships/hyperlink" Target="https://www.noemamag.com/article-topic/technology-and-the-human/feed/" TargetMode="External"/><Relationship Id="rId966" Type="http://schemas.openxmlformats.org/officeDocument/2006/relationships/hyperlink" Target="https://newsapi.org/v2/everything?domains=" TargetMode="External"/><Relationship Id="rId69" Type="http://schemas.openxmlformats.org/officeDocument/2006/relationships/hyperlink" Target="https://newsapi.org/v2/everything?domains=" TargetMode="External"/><Relationship Id="rId961" Type="http://schemas.openxmlformats.org/officeDocument/2006/relationships/hyperlink" Target="http://fetchrss.com/rss/63e4e4830f32204f7f522ad263ff4a77322d6b1fbf5b7b32.xml" TargetMode="External"/><Relationship Id="rId960" Type="http://schemas.openxmlformats.org/officeDocument/2006/relationships/hyperlink" Target="https://newsapi.org/v2/everything?domains=" TargetMode="External"/><Relationship Id="rId51" Type="http://schemas.openxmlformats.org/officeDocument/2006/relationships/hyperlink" Target="http://fetchrss.com/rss/63e4e4830f32204f7f522ad263e60c7fbbece616a6188662.xml" TargetMode="External"/><Relationship Id="rId50" Type="http://schemas.openxmlformats.org/officeDocument/2006/relationships/hyperlink" Target="http://fetchrss.com/rss/63e4e4830f32204f7f522ad263e6086ef2662d521b673a43.xml" TargetMode="External"/><Relationship Id="rId53" Type="http://schemas.openxmlformats.org/officeDocument/2006/relationships/hyperlink" Target="http://fetchrss.com/rss/63e4e4830f32204f7f522ad263e60b2d7ed159366a22f9e4.xml" TargetMode="External"/><Relationship Id="rId52" Type="http://schemas.openxmlformats.org/officeDocument/2006/relationships/hyperlink" Target="http://fetchrss.com/rss/63e4e4830f32204f7f522ad263e6084bbfd97e6ed240b6c2.xml" TargetMode="External"/><Relationship Id="rId55" Type="http://schemas.openxmlformats.org/officeDocument/2006/relationships/hyperlink" Target="https://ageofrevolutions.com/feed/" TargetMode="External"/><Relationship Id="rId54" Type="http://schemas.openxmlformats.org/officeDocument/2006/relationships/hyperlink" Target="http://fetchrss.com/rss/63e4e4830f32204f7f522ad263e60c57a8a9302a7a1e59a5.xml" TargetMode="External"/><Relationship Id="rId57" Type="http://schemas.openxmlformats.org/officeDocument/2006/relationships/hyperlink" Target="https://newsapi.org/v2/everything?domains=" TargetMode="External"/><Relationship Id="rId56" Type="http://schemas.openxmlformats.org/officeDocument/2006/relationships/hyperlink" Target="https://ageofrevolutions.com/" TargetMode="External"/><Relationship Id="rId719" Type="http://schemas.openxmlformats.org/officeDocument/2006/relationships/hyperlink" Target="https://noahpinion.substack.com/feed" TargetMode="External"/><Relationship Id="rId718" Type="http://schemas.openxmlformats.org/officeDocument/2006/relationships/hyperlink" Target="http://fetchrss.com/rss/63e4e4830f32204f7f522ad263f49dba34443511d5673cb2.xml" TargetMode="External"/><Relationship Id="rId717" Type="http://schemas.openxmlformats.org/officeDocument/2006/relationships/hyperlink" Target="https://newsapi.org/v2/everything?domains=" TargetMode="External"/><Relationship Id="rId959" Type="http://schemas.openxmlformats.org/officeDocument/2006/relationships/hyperlink" Target="https://steveblank.com/" TargetMode="External"/><Relationship Id="rId712" Type="http://schemas.openxmlformats.org/officeDocument/2006/relationships/hyperlink" Target="http://fetchrss.com/rss/63e4e4830f32204f7f522ad263eead3c1336405b0b55c464.xml" TargetMode="External"/><Relationship Id="rId954" Type="http://schemas.openxmlformats.org/officeDocument/2006/relationships/hyperlink" Target="https://www.fharrell.com/" TargetMode="External"/><Relationship Id="rId711" Type="http://schemas.openxmlformats.org/officeDocument/2006/relationships/hyperlink" Target="https://newsapi.org/v2/everything?domains=" TargetMode="External"/><Relationship Id="rId953" Type="http://schemas.openxmlformats.org/officeDocument/2006/relationships/hyperlink" Target="https://www.fharrell.com/index.xml" TargetMode="External"/><Relationship Id="rId710" Type="http://schemas.openxmlformats.org/officeDocument/2006/relationships/hyperlink" Target="https://www.newyorker.com/" TargetMode="External"/><Relationship Id="rId952" Type="http://schemas.openxmlformats.org/officeDocument/2006/relationships/hyperlink" Target="https://newsapi.org/v2/everything?domains=" TargetMode="External"/><Relationship Id="rId951" Type="http://schemas.openxmlformats.org/officeDocument/2006/relationships/hyperlink" Target="https://statmodeling.stat.columbia.edu/" TargetMode="External"/><Relationship Id="rId716" Type="http://schemas.openxmlformats.org/officeDocument/2006/relationships/hyperlink" Target="https://www.nih.gov/" TargetMode="External"/><Relationship Id="rId958" Type="http://schemas.openxmlformats.org/officeDocument/2006/relationships/hyperlink" Target="https://steveblank.com/feed/" TargetMode="External"/><Relationship Id="rId715" Type="http://schemas.openxmlformats.org/officeDocument/2006/relationships/hyperlink" Target="https://www.nih.gov/news-releases/feed.xml" TargetMode="External"/><Relationship Id="rId957" Type="http://schemas.openxmlformats.org/officeDocument/2006/relationships/hyperlink" Target="https://writings.stephenwolfram.com/2023/02/what-is-chatgpt-doing-and-why-does-it-work/" TargetMode="External"/><Relationship Id="rId714" Type="http://schemas.openxmlformats.org/officeDocument/2006/relationships/hyperlink" Target="https://newsapi.org/v2/everything?domains=" TargetMode="External"/><Relationship Id="rId956" Type="http://schemas.openxmlformats.org/officeDocument/2006/relationships/hyperlink" Target="https://stephaniekelton.substack.com/feed" TargetMode="External"/><Relationship Id="rId713" Type="http://schemas.openxmlformats.org/officeDocument/2006/relationships/hyperlink" Target="https://nida.nih.gov/news-events" TargetMode="External"/><Relationship Id="rId955" Type="http://schemas.openxmlformats.org/officeDocument/2006/relationships/hyperlink" Target="https://newsapi.org/v2/everything?domains=" TargetMode="External"/><Relationship Id="rId59" Type="http://schemas.openxmlformats.org/officeDocument/2006/relationships/hyperlink" Target="https://www.ama-assn.org/" TargetMode="External"/><Relationship Id="rId58" Type="http://schemas.openxmlformats.org/officeDocument/2006/relationships/hyperlink" Target="https://magazine.sebastianraschka.com/feed" TargetMode="External"/><Relationship Id="rId950" Type="http://schemas.openxmlformats.org/officeDocument/2006/relationships/hyperlink" Target="https://statmodeling.stat.columbia.edu/feed/" TargetMode="External"/><Relationship Id="rId590" Type="http://schemas.openxmlformats.org/officeDocument/2006/relationships/hyperlink" Target="http://fetchrss.com/rss/63e4e4830f32204f7f522ad263e6466be068a67b8103f3c2.xml" TargetMode="External"/><Relationship Id="rId107" Type="http://schemas.openxmlformats.org/officeDocument/2006/relationships/hyperlink" Target="https://art.art/blog" TargetMode="External"/><Relationship Id="rId349" Type="http://schemas.openxmlformats.org/officeDocument/2006/relationships/hyperlink" Target="http://fetchrss.com/rss/63e4e4830f32204f7f522ad263efb2f49894605dc143c092.xml" TargetMode="External"/><Relationship Id="rId106" Type="http://schemas.openxmlformats.org/officeDocument/2006/relationships/hyperlink" Target="http://fetchrss.com/rss/63e4e4830f32204f7f522ad263f236d50ed29357712ba8c2.xml" TargetMode="External"/><Relationship Id="rId348" Type="http://schemas.openxmlformats.org/officeDocument/2006/relationships/hyperlink" Target="http://fetchrss.com/rss/63e4e4830f32204f7f522ad263eeaad1bfa0236e38675968.xml" TargetMode="External"/><Relationship Id="rId105" Type="http://schemas.openxmlformats.org/officeDocument/2006/relationships/hyperlink" Target="https://newsapi.org/v2/everything?domains=" TargetMode="External"/><Relationship Id="rId347" Type="http://schemas.openxmlformats.org/officeDocument/2006/relationships/hyperlink" Target="http://fetchrss.com/rss/63e4e4830f32204f7f522ad263eeab3d7432ba23283a4475.xml" TargetMode="External"/><Relationship Id="rId589" Type="http://schemas.openxmlformats.org/officeDocument/2006/relationships/hyperlink" Target="http://fetchrss.com/rss/63e4e4830f32204f7f522ad263e6447d859ab943a86180d3.xml" TargetMode="External"/><Relationship Id="rId104" Type="http://schemas.openxmlformats.org/officeDocument/2006/relationships/hyperlink" Target="https://www.artofthetitle.com/" TargetMode="External"/><Relationship Id="rId346" Type="http://schemas.openxmlformats.org/officeDocument/2006/relationships/hyperlink" Target="https://newsapi.org/v2/everything?domains=" TargetMode="External"/><Relationship Id="rId588" Type="http://schemas.openxmlformats.org/officeDocument/2006/relationships/hyperlink" Target="http://fetchrss.com/rss/63e4e4830f32204f7f522ad263e644bac746f00f571d0b92.xml" TargetMode="External"/><Relationship Id="rId109" Type="http://schemas.openxmlformats.org/officeDocument/2006/relationships/hyperlink" Target="https://www.artnews.com/" TargetMode="External"/><Relationship Id="rId1170" Type="http://schemas.openxmlformats.org/officeDocument/2006/relationships/hyperlink" Target="http://fetchrss.com/rss/63e4e4830f32204f7f522ad2640de4633ef16e78f75ae8a3.xml" TargetMode="External"/><Relationship Id="rId108" Type="http://schemas.openxmlformats.org/officeDocument/2006/relationships/hyperlink" Target="https://newsapi.org/v2/everything?domains=" TargetMode="External"/><Relationship Id="rId1171" Type="http://schemas.openxmlformats.org/officeDocument/2006/relationships/hyperlink" Target="https://joie-blog.net/feed" TargetMode="External"/><Relationship Id="rId341" Type="http://schemas.openxmlformats.org/officeDocument/2006/relationships/hyperlink" Target="https://newsapi.org/v2/everything?domains=" TargetMode="External"/><Relationship Id="rId583" Type="http://schemas.openxmlformats.org/officeDocument/2006/relationships/hyperlink" Target="https://newsapi.org/v2/everything?domains=" TargetMode="External"/><Relationship Id="rId1172" Type="http://schemas.openxmlformats.org/officeDocument/2006/relationships/hyperlink" Target="https://mnacommunity.com/insights/feed/" TargetMode="External"/><Relationship Id="rId340" Type="http://schemas.openxmlformats.org/officeDocument/2006/relationships/hyperlink" Target="https://thedieline.com/?" TargetMode="External"/><Relationship Id="rId582" Type="http://schemas.openxmlformats.org/officeDocument/2006/relationships/hyperlink" Target="https://www.lesswrong.com/" TargetMode="External"/><Relationship Id="rId1173" Type="http://schemas.openxmlformats.org/officeDocument/2006/relationships/hyperlink" Target="https://www.idealog.com/blog/feed/" TargetMode="External"/><Relationship Id="rId581" Type="http://schemas.openxmlformats.org/officeDocument/2006/relationships/hyperlink" Target="https://newsapi.org/v2/everything?domains=" TargetMode="External"/><Relationship Id="rId1174" Type="http://schemas.openxmlformats.org/officeDocument/2006/relationships/hyperlink" Target="https://www.scmagazine.com/" TargetMode="External"/><Relationship Id="rId580" Type="http://schemas.openxmlformats.org/officeDocument/2006/relationships/hyperlink" Target="https://www.leidenmedievalistsblog.nl/" TargetMode="External"/><Relationship Id="rId1175" Type="http://schemas.openxmlformats.org/officeDocument/2006/relationships/hyperlink" Target="https://stanmed.stanford.edu/articles/feed/" TargetMode="External"/><Relationship Id="rId103" Type="http://schemas.openxmlformats.org/officeDocument/2006/relationships/hyperlink" Target="https://newsapi.org/v2/everything?domains=" TargetMode="External"/><Relationship Id="rId345" Type="http://schemas.openxmlformats.org/officeDocument/2006/relationships/hyperlink" Target="https://www.discogs.com/" TargetMode="External"/><Relationship Id="rId587" Type="http://schemas.openxmlformats.org/officeDocument/2006/relationships/hyperlink" Target="http://fetchrss.com/rss/63e4e4830f32204f7f522ad263e7894d30afee3e1c4b4ec2.xml" TargetMode="External"/><Relationship Id="rId1176" Type="http://schemas.openxmlformats.org/officeDocument/2006/relationships/hyperlink" Target="http://fetchrss.com/rss/63e4e4830f32204f7f522ad2640e1fe4814a0301091daa32.xml" TargetMode="External"/><Relationship Id="rId102" Type="http://schemas.openxmlformats.org/officeDocument/2006/relationships/hyperlink" Target="https://www.artforum.com/" TargetMode="External"/><Relationship Id="rId344" Type="http://schemas.openxmlformats.org/officeDocument/2006/relationships/hyperlink" Target="http://fetchrss.com/rss/63e4e4830f32204f7f522ad263ee32ecdb532b61ce29efc2.xml" TargetMode="External"/><Relationship Id="rId586" Type="http://schemas.openxmlformats.org/officeDocument/2006/relationships/hyperlink" Target="https://newsapi.org/v2/everything?domains=" TargetMode="External"/><Relationship Id="rId1177" Type="http://schemas.openxmlformats.org/officeDocument/2006/relationships/hyperlink" Target="http://fetchrss.com/rss/63e4e4830f32204f7f522ad2640e21d5900da6081d56f8a2.xml" TargetMode="External"/><Relationship Id="rId101" Type="http://schemas.openxmlformats.org/officeDocument/2006/relationships/hyperlink" Target="https://www.artforum.com/rss.xml" TargetMode="External"/><Relationship Id="rId343" Type="http://schemas.openxmlformats.org/officeDocument/2006/relationships/hyperlink" Target="https://newsapi.org/v2/everything?domains=" TargetMode="External"/><Relationship Id="rId585" Type="http://schemas.openxmlformats.org/officeDocument/2006/relationships/hyperlink" Target="https://lettersofnote.com/" TargetMode="External"/><Relationship Id="rId1178" Type="http://schemas.openxmlformats.org/officeDocument/2006/relationships/hyperlink" Target="http://fetchrss.com/rss/63e4e4830f32204f7f522ad2640e22275552a97606705b32.xml" TargetMode="External"/><Relationship Id="rId100" Type="http://schemas.openxmlformats.org/officeDocument/2006/relationships/hyperlink" Target="https://feeds.arstechnica.com/arstechnica/science" TargetMode="External"/><Relationship Id="rId342" Type="http://schemas.openxmlformats.org/officeDocument/2006/relationships/hyperlink" Target="https://digiday.com/" TargetMode="External"/><Relationship Id="rId584" Type="http://schemas.openxmlformats.org/officeDocument/2006/relationships/hyperlink" Target="https://lettersofnote.com/feed/" TargetMode="External"/><Relationship Id="rId1179" Type="http://schemas.openxmlformats.org/officeDocument/2006/relationships/hyperlink" Target="http://fetchrss.com/rss/63e4e4830f32204f7f522ad2640e229d16ad1a71d8285122.xml" TargetMode="External"/><Relationship Id="rId1169" Type="http://schemas.openxmlformats.org/officeDocument/2006/relationships/hyperlink" Target="https://astrobites.org/feed/" TargetMode="External"/><Relationship Id="rId338" Type="http://schemas.openxmlformats.org/officeDocument/2006/relationships/hyperlink" Target="https://newsapi.org/v2/everything?domains=" TargetMode="External"/><Relationship Id="rId337" Type="http://schemas.openxmlformats.org/officeDocument/2006/relationships/hyperlink" Target="https://diamondgeezer.blogspot.com/" TargetMode="External"/><Relationship Id="rId579" Type="http://schemas.openxmlformats.org/officeDocument/2006/relationships/hyperlink" Target="https://www.leidenmedievalistsblog.nl/feed" TargetMode="External"/><Relationship Id="rId336" Type="http://schemas.openxmlformats.org/officeDocument/2006/relationships/hyperlink" Target="http://feeds.feedburner.com/blogspot/HcFb" TargetMode="External"/><Relationship Id="rId578" Type="http://schemas.openxmlformats.org/officeDocument/2006/relationships/hyperlink" Target="https://newsapi.org/v2/everything?domains=" TargetMode="External"/><Relationship Id="rId335" Type="http://schemas.openxmlformats.org/officeDocument/2006/relationships/hyperlink" Target="https://newsapi.org/v2/everything?domains=" TargetMode="External"/><Relationship Id="rId577" Type="http://schemas.openxmlformats.org/officeDocument/2006/relationships/hyperlink" Target="https://www.laphamsquarterly.org/roundtable" TargetMode="External"/><Relationship Id="rId339" Type="http://schemas.openxmlformats.org/officeDocument/2006/relationships/hyperlink" Target="https://thedieline.com/feed/posts" TargetMode="External"/><Relationship Id="rId1160" Type="http://schemas.openxmlformats.org/officeDocument/2006/relationships/hyperlink" Target="http://fetchrss.com/rss/63e4e4830f32204f7f522ad2640ddc939a5b58225a527252.xml" TargetMode="External"/><Relationship Id="rId330" Type="http://schemas.openxmlformats.org/officeDocument/2006/relationships/hyperlink" Target="https://newsapi.org/v2/everything?domains=" TargetMode="External"/><Relationship Id="rId572" Type="http://schemas.openxmlformats.org/officeDocument/2006/relationships/hyperlink" Target="https://www.labroots.com/" TargetMode="External"/><Relationship Id="rId1161" Type="http://schemas.openxmlformats.org/officeDocument/2006/relationships/hyperlink" Target="http://fetchrss.com/rss/63e4e4830f32204f7f522ad2640ddcc355dbe531615d1812.xml" TargetMode="External"/><Relationship Id="rId571" Type="http://schemas.openxmlformats.org/officeDocument/2006/relationships/hyperlink" Target="http://fetchrss.com/rss/63e4e4830f32204f7f522ad263ef4846322b0b67531cbb92.xml" TargetMode="External"/><Relationship Id="rId1162" Type="http://schemas.openxmlformats.org/officeDocument/2006/relationships/hyperlink" Target="http://fetchrss.com/rss/63e4e4830f32204f7f522ad2640ddcea9a5b58225a527253.xml" TargetMode="External"/><Relationship Id="rId570" Type="http://schemas.openxmlformats.org/officeDocument/2006/relationships/hyperlink" Target="https://ruthreichl.substack.com/feed" TargetMode="External"/><Relationship Id="rId1163" Type="http://schemas.openxmlformats.org/officeDocument/2006/relationships/hyperlink" Target="http://fetchrss.com/rss/63e4e4830f32204f7f522ad2640ddd355a696168776f7db2.xml" TargetMode="External"/><Relationship Id="rId1164" Type="http://schemas.openxmlformats.org/officeDocument/2006/relationships/hyperlink" Target="http://fetchrss.com/rss/63e4e4830f32204f7f522ad2640ddd61b751126184065d12.xml" TargetMode="External"/><Relationship Id="rId334" Type="http://schemas.openxmlformats.org/officeDocument/2006/relationships/hyperlink" Target="https://www.dezeen.com/" TargetMode="External"/><Relationship Id="rId576" Type="http://schemas.openxmlformats.org/officeDocument/2006/relationships/hyperlink" Target="https://newsapi.org/v2/everything?domains=" TargetMode="External"/><Relationship Id="rId1165" Type="http://schemas.openxmlformats.org/officeDocument/2006/relationships/hyperlink" Target="http://fetchrss.com/rss/63e4e4830f32204f7f522ad2640ddd89b7d44b080009fe32.xml" TargetMode="External"/><Relationship Id="rId333" Type="http://schemas.openxmlformats.org/officeDocument/2006/relationships/hyperlink" Target="https://newsapi.org/v2/everything?domains=" TargetMode="External"/><Relationship Id="rId575" Type="http://schemas.openxmlformats.org/officeDocument/2006/relationships/hyperlink" Target="https://languagelog.ldc.upenn.edu/nll/" TargetMode="External"/><Relationship Id="rId1166" Type="http://schemas.openxmlformats.org/officeDocument/2006/relationships/hyperlink" Target="http://fetchrss.com/rss/63e4e4830f32204f7f522ad2640dddadccc21358320d9e52.xml" TargetMode="External"/><Relationship Id="rId332" Type="http://schemas.openxmlformats.org/officeDocument/2006/relationships/hyperlink" Target="https://designnotes.blog.gov.uk/" TargetMode="External"/><Relationship Id="rId574" Type="http://schemas.openxmlformats.org/officeDocument/2006/relationships/hyperlink" Target="https://languagelog.ldc.upenn.edu/nll/?feed=rss2" TargetMode="External"/><Relationship Id="rId1167" Type="http://schemas.openxmlformats.org/officeDocument/2006/relationships/hyperlink" Target="http://fetchrss.com/rss/63e4e4830f32204f7f522ad2640ddf92c2444314982b0d52.xml" TargetMode="External"/><Relationship Id="rId331" Type="http://schemas.openxmlformats.org/officeDocument/2006/relationships/hyperlink" Target="http://fetchrss.com/rss/63e4e4830f32204f7f522ad263eeb186f2015723c267d392.xml" TargetMode="External"/><Relationship Id="rId573" Type="http://schemas.openxmlformats.org/officeDocument/2006/relationships/hyperlink" Target="https://newsapi.org/v2/everything?domains=" TargetMode="External"/><Relationship Id="rId1168" Type="http://schemas.openxmlformats.org/officeDocument/2006/relationships/hyperlink" Target="https://johnhawks.net/weblog/rss/" TargetMode="External"/><Relationship Id="rId370" Type="http://schemas.openxmlformats.org/officeDocument/2006/relationships/hyperlink" Target="https://newsapi.org/v2/everything?domains=" TargetMode="External"/><Relationship Id="rId129" Type="http://schemas.openxmlformats.org/officeDocument/2006/relationships/hyperlink" Target="http://fetchrss.com/rss/63e4e4830f32204f7f522ad263e621a8167385377a57e4a2.xml" TargetMode="External"/><Relationship Id="rId128" Type="http://schemas.openxmlformats.org/officeDocument/2006/relationships/hyperlink" Target="http://fetchrss.com/rss/63e4e4830f32204f7f522ad263e621132f9de46e1f616712.xml" TargetMode="External"/><Relationship Id="rId127" Type="http://schemas.openxmlformats.org/officeDocument/2006/relationships/hyperlink" Target="http://fetchrss.com/rss/63e4e4830f32204f7f522ad263e620a7940ad103eb056e72.xml" TargetMode="External"/><Relationship Id="rId369" Type="http://schemas.openxmlformats.org/officeDocument/2006/relationships/hyperlink" Target="https://www.eater.com/" TargetMode="External"/><Relationship Id="rId126" Type="http://schemas.openxmlformats.org/officeDocument/2006/relationships/hyperlink" Target="http://fetchrss.com/rss/63e4e4830f32204f7f522ad263e6218ad0b72f6df44f1a92.xml" TargetMode="External"/><Relationship Id="rId368" Type="http://schemas.openxmlformats.org/officeDocument/2006/relationships/hyperlink" Target="http://fetchrss.com/rss/63e4e4830f32204f7f522ad263ef474d838f7b635b124663.xml" TargetMode="External"/><Relationship Id="rId1190" Type="http://schemas.openxmlformats.org/officeDocument/2006/relationships/hyperlink" Target="https://ishadeed.com/feed.xml" TargetMode="External"/><Relationship Id="rId1191" Type="http://schemas.openxmlformats.org/officeDocument/2006/relationships/hyperlink" Target="http://fetchrss.com/rss/63e4e4830f32204f7f522ad2640eec04ab797a374c668692.xml" TargetMode="External"/><Relationship Id="rId1192" Type="http://schemas.openxmlformats.org/officeDocument/2006/relationships/hyperlink" Target="http://fetchrss.com/rss/63e4e4830f32204f7f522ad2640eed36ea09ba434a263f05.xml" TargetMode="External"/><Relationship Id="rId1193" Type="http://schemas.openxmlformats.org/officeDocument/2006/relationships/hyperlink" Target="http://fetchrss.com/rss/63e4e4830f32204f7f522ad2640eed8ea1f04d7d055b55c4.xml" TargetMode="External"/><Relationship Id="rId121" Type="http://schemas.openxmlformats.org/officeDocument/2006/relationships/hyperlink" Target="https://astronomynow.com/" TargetMode="External"/><Relationship Id="rId363" Type="http://schemas.openxmlformats.org/officeDocument/2006/relationships/hyperlink" Target="http://fetchrss.com/rss/63e4e4830f32204f7f522ad263ef46519932ee33a46976f3.xml" TargetMode="External"/><Relationship Id="rId1194" Type="http://schemas.openxmlformats.org/officeDocument/2006/relationships/hyperlink" Target="http://fetchrss.com/rss/63e4e4830f32204f7f522ad2640eedb498c537175d02fb34.xml" TargetMode="External"/><Relationship Id="rId120" Type="http://schemas.openxmlformats.org/officeDocument/2006/relationships/hyperlink" Target="http://fetchrss.com/rss/63e4e4830f32204f7f522ad263ee36b2c1f19535b6366eb2.xml" TargetMode="External"/><Relationship Id="rId362" Type="http://schemas.openxmlformats.org/officeDocument/2006/relationships/hyperlink" Target="https://newsapi.org/v2/everything?domains=" TargetMode="External"/><Relationship Id="rId1195" Type="http://schemas.openxmlformats.org/officeDocument/2006/relationships/hyperlink" Target="https://thehustle.co/feed/" TargetMode="External"/><Relationship Id="rId361" Type="http://schemas.openxmlformats.org/officeDocument/2006/relationships/hyperlink" Target="https://elifesciences.org/" TargetMode="External"/><Relationship Id="rId1196" Type="http://schemas.openxmlformats.org/officeDocument/2006/relationships/hyperlink" Target="http://the-generation.net/feed/" TargetMode="External"/><Relationship Id="rId360" Type="http://schemas.openxmlformats.org/officeDocument/2006/relationships/hyperlink" Target="https://newsapi.org/v2/everything?domains=" TargetMode="External"/><Relationship Id="rId1197" Type="http://schemas.openxmlformats.org/officeDocument/2006/relationships/hyperlink" Target="https://www.e3g.org/latest/feed/" TargetMode="External"/><Relationship Id="rId125" Type="http://schemas.openxmlformats.org/officeDocument/2006/relationships/hyperlink" Target="https://atticuswierix.substack.com/" TargetMode="External"/><Relationship Id="rId367" Type="http://schemas.openxmlformats.org/officeDocument/2006/relationships/hyperlink" Target="http://fetchrss.com/rss/63e4e4830f32204f7f522ad263ef4710220cf77626317bb2.xml" TargetMode="External"/><Relationship Id="rId1198" Type="http://schemas.openxmlformats.org/officeDocument/2006/relationships/hyperlink" Target="http://fetchrss.com/rss/63e4e4830f32204f7f522ad2640efcead0388847631a4802.xml" TargetMode="External"/><Relationship Id="rId124" Type="http://schemas.openxmlformats.org/officeDocument/2006/relationships/hyperlink" Target="https://newsapi.org/v2/everything?domains=" TargetMode="External"/><Relationship Id="rId366" Type="http://schemas.openxmlformats.org/officeDocument/2006/relationships/hyperlink" Target="https://newsapi.org/v2/everything?domains=" TargetMode="External"/><Relationship Id="rId1199" Type="http://schemas.openxmlformats.org/officeDocument/2006/relationships/hyperlink" Target="https://thediplomat.com/" TargetMode="External"/><Relationship Id="rId123" Type="http://schemas.openxmlformats.org/officeDocument/2006/relationships/hyperlink" Target="https://www.atlasobscura.com/" TargetMode="External"/><Relationship Id="rId365" Type="http://schemas.openxmlformats.org/officeDocument/2006/relationships/hyperlink" Target="https://earthhow.com/" TargetMode="External"/><Relationship Id="rId122" Type="http://schemas.openxmlformats.org/officeDocument/2006/relationships/hyperlink" Target="https://newsapi.org/v2/everything?domains=" TargetMode="External"/><Relationship Id="rId364" Type="http://schemas.openxmlformats.org/officeDocument/2006/relationships/hyperlink" Target="http://fetchrss.com/rss/63e4e4830f32204f7f522ad263ef462a9f5ab33a344ff772.xml" TargetMode="External"/><Relationship Id="rId95" Type="http://schemas.openxmlformats.org/officeDocument/2006/relationships/hyperlink" Target="https://feeds.arstechnica.com/arstechnica/gaming" TargetMode="External"/><Relationship Id="rId94" Type="http://schemas.openxmlformats.org/officeDocument/2006/relationships/hyperlink" Target="https://feeds.arstechnica.com/arstechnica/gadgets" TargetMode="External"/><Relationship Id="rId97" Type="http://schemas.openxmlformats.org/officeDocument/2006/relationships/hyperlink" Target="https://feeds.arstechnica.com/arstechnica/technology-lab" TargetMode="External"/><Relationship Id="rId96" Type="http://schemas.openxmlformats.org/officeDocument/2006/relationships/hyperlink" Target="https://feeds.arstechnica.com/arstechnica/apple" TargetMode="External"/><Relationship Id="rId99" Type="http://schemas.openxmlformats.org/officeDocument/2006/relationships/hyperlink" Target="https://newsapi.org/v2/everything?domains=" TargetMode="External"/><Relationship Id="rId98" Type="http://schemas.openxmlformats.org/officeDocument/2006/relationships/hyperlink" Target="https://arstechnica.com/information-technology/" TargetMode="External"/><Relationship Id="rId91" Type="http://schemas.openxmlformats.org/officeDocument/2006/relationships/hyperlink" Target="https://www.architonic.com/" TargetMode="External"/><Relationship Id="rId90" Type="http://schemas.openxmlformats.org/officeDocument/2006/relationships/hyperlink" Target="https://fetchrss.com/generator/generate" TargetMode="External"/><Relationship Id="rId93" Type="http://schemas.openxmlformats.org/officeDocument/2006/relationships/hyperlink" Target="https://feeds.arstechnica.com/arstechnica/cardboard" TargetMode="External"/><Relationship Id="rId92" Type="http://schemas.openxmlformats.org/officeDocument/2006/relationships/hyperlink" Target="https://newsapi.org/v2/everything?domains=" TargetMode="External"/><Relationship Id="rId118" Type="http://schemas.openxmlformats.org/officeDocument/2006/relationships/hyperlink" Target="https://astronomy.com/" TargetMode="External"/><Relationship Id="rId117" Type="http://schemas.openxmlformats.org/officeDocument/2006/relationships/hyperlink" Target="http://fetchrss.com/rss/63e4e4830f32204f7f522ad263ee22091d15cf2c764c6532.xml" TargetMode="External"/><Relationship Id="rId359" Type="http://schemas.openxmlformats.org/officeDocument/2006/relationships/hyperlink" Target="https://dynomight.net/" TargetMode="External"/><Relationship Id="rId116" Type="http://schemas.openxmlformats.org/officeDocument/2006/relationships/hyperlink" Target="https://newsapi.org/v2/everything?domains=" TargetMode="External"/><Relationship Id="rId358" Type="http://schemas.openxmlformats.org/officeDocument/2006/relationships/hyperlink" Target="https://dynomight.net/feed.xml" TargetMode="External"/><Relationship Id="rId115" Type="http://schemas.openxmlformats.org/officeDocument/2006/relationships/hyperlink" Target="https://asteriskmag.com/" TargetMode="External"/><Relationship Id="rId357" Type="http://schemas.openxmlformats.org/officeDocument/2006/relationships/hyperlink" Target="https://www.dwell.com/@dwell/rss" TargetMode="External"/><Relationship Id="rId599" Type="http://schemas.openxmlformats.org/officeDocument/2006/relationships/hyperlink" Target="https://newsapi.org/v2/everything?domains=" TargetMode="External"/><Relationship Id="rId1180" Type="http://schemas.openxmlformats.org/officeDocument/2006/relationships/hyperlink" Target="http://fetchrss.com/rss/63e4e4830f32204f7f522ad2640e22e18df9cc31da3f7652.xml" TargetMode="External"/><Relationship Id="rId1181" Type="http://schemas.openxmlformats.org/officeDocument/2006/relationships/hyperlink" Target="http://fetchrss.com/rss/63e4e4830f32204f7f522ad2640e232d03734f657b7604e2.xml" TargetMode="External"/><Relationship Id="rId119" Type="http://schemas.openxmlformats.org/officeDocument/2006/relationships/hyperlink" Target="https://newsapi.org/v2/everything?domains=" TargetMode="External"/><Relationship Id="rId1182" Type="http://schemas.openxmlformats.org/officeDocument/2006/relationships/hyperlink" Target="http://fetchrss.com/rss/63e4e4830f32204f7f522ad2640e236bb0419f184655a482.xml" TargetMode="External"/><Relationship Id="rId110" Type="http://schemas.openxmlformats.org/officeDocument/2006/relationships/hyperlink" Target="https://newsapi.org/v2/everything?domains=" TargetMode="External"/><Relationship Id="rId352" Type="http://schemas.openxmlformats.org/officeDocument/2006/relationships/hyperlink" Target="https://www.dpreview.com/" TargetMode="External"/><Relationship Id="rId594" Type="http://schemas.openxmlformats.org/officeDocument/2006/relationships/hyperlink" Target="http://fetchrss.com/rss/63e4e4830f32204f7f522ad263e645a0944a8c3cac31c242.xml" TargetMode="External"/><Relationship Id="rId1183" Type="http://schemas.openxmlformats.org/officeDocument/2006/relationships/hyperlink" Target="http://fetchrss.com/rss/63e4e4830f32204f7f522ad2640e23ed7f8ea92110778d42.xml" TargetMode="External"/><Relationship Id="rId351" Type="http://schemas.openxmlformats.org/officeDocument/2006/relationships/hyperlink" Target="https://newsapi.org/v2/everything?domains=" TargetMode="External"/><Relationship Id="rId593" Type="http://schemas.openxmlformats.org/officeDocument/2006/relationships/hyperlink" Target="http://fetchrss.com/rss/63e4e4830f32204f7f522ad263e789070a661858f95a8e42.xml" TargetMode="External"/><Relationship Id="rId1184" Type="http://schemas.openxmlformats.org/officeDocument/2006/relationships/hyperlink" Target="http://fetchrss.com/rss/63e4e4830f32204f7f522ad2640e2430c1748a0cd917a712.xml" TargetMode="External"/><Relationship Id="rId350" Type="http://schemas.openxmlformats.org/officeDocument/2006/relationships/hyperlink" Target="https://divisare.com/" TargetMode="External"/><Relationship Id="rId592" Type="http://schemas.openxmlformats.org/officeDocument/2006/relationships/hyperlink" Target="http://fetchrss.com/rss/63e4e4830f32204f7f522ad263e788928c6eb84ff15949f2.xml" TargetMode="External"/><Relationship Id="rId1185" Type="http://schemas.openxmlformats.org/officeDocument/2006/relationships/hyperlink" Target="http://fetchrss.com/rss/63e4e4830f32204f7f522ad2640e2518bde8862fb64f5fe2.xml" TargetMode="External"/><Relationship Id="rId591" Type="http://schemas.openxmlformats.org/officeDocument/2006/relationships/hyperlink" Target="http://fetchrss.com/rss/63e4e4830f32204f7f522ad263e645f600a63c4b527c2ac2.xml" TargetMode="External"/><Relationship Id="rId1186" Type="http://schemas.openxmlformats.org/officeDocument/2006/relationships/hyperlink" Target="https://amplify.nabshow.com/feed/?post_type=articles" TargetMode="External"/><Relationship Id="rId114" Type="http://schemas.openxmlformats.org/officeDocument/2006/relationships/hyperlink" Target="http://fetchrss.com/rss/63e4e4830f32204f7f522ad263eea97e927d0836015d80f7.xml" TargetMode="External"/><Relationship Id="rId356" Type="http://schemas.openxmlformats.org/officeDocument/2006/relationships/hyperlink" Target="https://newsapi.org/v2/everything?domains=" TargetMode="External"/><Relationship Id="rId598" Type="http://schemas.openxmlformats.org/officeDocument/2006/relationships/hyperlink" Target="https://www.lifeofanarchitect.com/" TargetMode="External"/><Relationship Id="rId1187" Type="http://schemas.openxmlformats.org/officeDocument/2006/relationships/hyperlink" Target="https://www.kqed.org/" TargetMode="External"/><Relationship Id="rId113" Type="http://schemas.openxmlformats.org/officeDocument/2006/relationships/hyperlink" Target="https://newsapi.org/v2/everything?domains=" TargetMode="External"/><Relationship Id="rId355" Type="http://schemas.openxmlformats.org/officeDocument/2006/relationships/hyperlink" Target="https://www.durham.ac.uk/research/institutes-and-centres/ibru-borders-research/news-and-events/boundary-news/" TargetMode="External"/><Relationship Id="rId597" Type="http://schemas.openxmlformats.org/officeDocument/2006/relationships/hyperlink" Target="https://www.lifeofanarchitect.com/feed/podcast/" TargetMode="External"/><Relationship Id="rId1188" Type="http://schemas.openxmlformats.org/officeDocument/2006/relationships/hyperlink" Target="https://nayafia.substack.com/" TargetMode="External"/><Relationship Id="rId112" Type="http://schemas.openxmlformats.org/officeDocument/2006/relationships/hyperlink" Target="https://www.artsy.net/" TargetMode="External"/><Relationship Id="rId354" Type="http://schemas.openxmlformats.org/officeDocument/2006/relationships/hyperlink" Target="http://fetchrss.com/rss/63e4e4830f32204f7f522ad263f23a6b1e8e344714581282.xml" TargetMode="External"/><Relationship Id="rId596" Type="http://schemas.openxmlformats.org/officeDocument/2006/relationships/hyperlink" Target="http://fetchrss.com/rss/63e4e4830f32204f7f522ad263ff51c986ec4d207965dc42.xml" TargetMode="External"/><Relationship Id="rId1189" Type="http://schemas.openxmlformats.org/officeDocument/2006/relationships/hyperlink" Target="https://unwindai.substack.com/" TargetMode="External"/><Relationship Id="rId111" Type="http://schemas.openxmlformats.org/officeDocument/2006/relationships/hyperlink" Target="http://fetchrss.com/rss/63e4e4830f32204f7f522ad263efb6f747526d4c7c5fdd22.xml" TargetMode="External"/><Relationship Id="rId353" Type="http://schemas.openxmlformats.org/officeDocument/2006/relationships/hyperlink" Target="https://newsapi.org/v2/everything?domains=" TargetMode="External"/><Relationship Id="rId595" Type="http://schemas.openxmlformats.org/officeDocument/2006/relationships/hyperlink" Target="http://fetchrss.com/rss/63e4e4830f32204f7f522ad263e788dbfee16044c82620d3.xml" TargetMode="External"/><Relationship Id="rId1136" Type="http://schemas.openxmlformats.org/officeDocument/2006/relationships/hyperlink" Target="http://fetchrss.com/rss/63e4e4830f32204f7f522ad263e790556533195290132502.xml" TargetMode="External"/><Relationship Id="rId1137" Type="http://schemas.openxmlformats.org/officeDocument/2006/relationships/hyperlink" Target="http://fetchrss.com/rss/63e4e4830f32204f7f522ad263e78ea1c31fd3618f542722.xml" TargetMode="External"/><Relationship Id="rId1138" Type="http://schemas.openxmlformats.org/officeDocument/2006/relationships/hyperlink" Target="http://fetchrss.com/rss/63e4e4830f32204f7f522ad263e790e753468b0aac55a0f2.xml" TargetMode="External"/><Relationship Id="rId1139" Type="http://schemas.openxmlformats.org/officeDocument/2006/relationships/hyperlink" Target="http://fetchrss.com/rss/63e4e4830f32204f7f522ad263e79097fb1475013646d462.xml" TargetMode="External"/><Relationship Id="rId305" Type="http://schemas.openxmlformats.org/officeDocument/2006/relationships/hyperlink" Target="https://daniellakens.blogspot.com/feeds/posts/default" TargetMode="External"/><Relationship Id="rId547" Type="http://schemas.openxmlformats.org/officeDocument/2006/relationships/hyperlink" Target="https://newsapi.org/v2/everything?domains=" TargetMode="External"/><Relationship Id="rId789" Type="http://schemas.openxmlformats.org/officeDocument/2006/relationships/hyperlink" Target="https://www.philosophersmag.com/" TargetMode="External"/><Relationship Id="rId304" Type="http://schemas.openxmlformats.org/officeDocument/2006/relationships/hyperlink" Target="https://danwang.co/feed/" TargetMode="External"/><Relationship Id="rId546" Type="http://schemas.openxmlformats.org/officeDocument/2006/relationships/hyperlink" Target="https://jamanetwork.com/" TargetMode="External"/><Relationship Id="rId788" Type="http://schemas.openxmlformats.org/officeDocument/2006/relationships/hyperlink" Target="https://newsapi.org/v2/everything?domains=" TargetMode="External"/><Relationship Id="rId303" Type="http://schemas.openxmlformats.org/officeDocument/2006/relationships/hyperlink" Target="https://newsapi.org/v2/everything?domains=" TargetMode="External"/><Relationship Id="rId545" Type="http://schemas.openxmlformats.org/officeDocument/2006/relationships/hyperlink" Target="https://jaimebrooks.substack.com/feed" TargetMode="External"/><Relationship Id="rId787" Type="http://schemas.openxmlformats.org/officeDocument/2006/relationships/hyperlink" Target="https://www.piie.com/blogs" TargetMode="External"/><Relationship Id="rId302" Type="http://schemas.openxmlformats.org/officeDocument/2006/relationships/hyperlink" Target="https://www.damninteresting.com/" TargetMode="External"/><Relationship Id="rId544" Type="http://schemas.openxmlformats.org/officeDocument/2006/relationships/hyperlink" Target="https://newsapi.org/v2/everything?domains=" TargetMode="External"/><Relationship Id="rId786" Type="http://schemas.openxmlformats.org/officeDocument/2006/relationships/hyperlink" Target="https://www.piie.com/rss/update.xml" TargetMode="External"/><Relationship Id="rId309" Type="http://schemas.openxmlformats.org/officeDocument/2006/relationships/hyperlink" Target="https://danluu.com/" TargetMode="External"/><Relationship Id="rId308" Type="http://schemas.openxmlformats.org/officeDocument/2006/relationships/hyperlink" Target="https://danluu.com/atom.xml" TargetMode="External"/><Relationship Id="rId307" Type="http://schemas.openxmlformats.org/officeDocument/2006/relationships/hyperlink" Target="https://newsapi.org/v2/everything?domains=" TargetMode="External"/><Relationship Id="rId549" Type="http://schemas.openxmlformats.org/officeDocument/2006/relationships/hyperlink" Target="https://newsapi.org/v2/everything?domains=" TargetMode="External"/><Relationship Id="rId306" Type="http://schemas.openxmlformats.org/officeDocument/2006/relationships/hyperlink" Target="https://daniellakens.blogspot.com/" TargetMode="External"/><Relationship Id="rId548" Type="http://schemas.openxmlformats.org/officeDocument/2006/relationships/hyperlink" Target="https://www.japancamerahunter.com/" TargetMode="External"/><Relationship Id="rId781" Type="http://schemas.openxmlformats.org/officeDocument/2006/relationships/hyperlink" Target="https://newsapi.org/v2/everything?domains=" TargetMode="External"/><Relationship Id="rId780" Type="http://schemas.openxmlformats.org/officeDocument/2006/relationships/hyperlink" Target="https://www.pentagram.com/" TargetMode="External"/><Relationship Id="rId1130" Type="http://schemas.openxmlformats.org/officeDocument/2006/relationships/hyperlink" Target="http://fetchrss.com/rss/63e4e4830f32204f7f522ad263e78f5fdb568b225d0dc102.xml" TargetMode="External"/><Relationship Id="rId1131" Type="http://schemas.openxmlformats.org/officeDocument/2006/relationships/hyperlink" Target="http://fetchrss.com/rss/63e4e4830f32204f7f522ad263e78faccb67f3356b71fb12.xml" TargetMode="External"/><Relationship Id="rId301" Type="http://schemas.openxmlformats.org/officeDocument/2006/relationships/hyperlink" Target="https://newsapi.org/v2/everything?domains=" TargetMode="External"/><Relationship Id="rId543" Type="http://schemas.openxmlformats.org/officeDocument/2006/relationships/hyperlink" Target="https://www.itsnicethat.com/" TargetMode="External"/><Relationship Id="rId785" Type="http://schemas.openxmlformats.org/officeDocument/2006/relationships/hyperlink" Target="https://petedroge.substack.com/" TargetMode="External"/><Relationship Id="rId1132" Type="http://schemas.openxmlformats.org/officeDocument/2006/relationships/hyperlink" Target="http://fetchrss.com/rss/63e4e4830f32204f7f522ad263e78f259cfb467b9a17b192.xml" TargetMode="External"/><Relationship Id="rId300" Type="http://schemas.openxmlformats.org/officeDocument/2006/relationships/hyperlink" Target="https://dailynous.com/" TargetMode="External"/><Relationship Id="rId542" Type="http://schemas.openxmlformats.org/officeDocument/2006/relationships/hyperlink" Target="https://kyleorton.substack.com/feed" TargetMode="External"/><Relationship Id="rId784" Type="http://schemas.openxmlformats.org/officeDocument/2006/relationships/hyperlink" Target="https://newsapi.org/v2/everything?domains=" TargetMode="External"/><Relationship Id="rId1133" Type="http://schemas.openxmlformats.org/officeDocument/2006/relationships/hyperlink" Target="http://fetchrss.com/rss/63e4e4830f32204f7f522ad263e78fd66df40149675d40b2.xml" TargetMode="External"/><Relationship Id="rId541" Type="http://schemas.openxmlformats.org/officeDocument/2006/relationships/hyperlink" Target="https://lethain.com/feeds.xml" TargetMode="External"/><Relationship Id="rId783" Type="http://schemas.openxmlformats.org/officeDocument/2006/relationships/hyperlink" Target="https://petapixel.com/topic/news/" TargetMode="External"/><Relationship Id="rId1134" Type="http://schemas.openxmlformats.org/officeDocument/2006/relationships/hyperlink" Target="http://fetchrss.com/rss/63e4e4830f32204f7f522ad263e7900280394507c466e0f2.xml" TargetMode="External"/><Relationship Id="rId540" Type="http://schemas.openxmlformats.org/officeDocument/2006/relationships/hyperlink" Target="https://www.invw.org/feed/" TargetMode="External"/><Relationship Id="rId782" Type="http://schemas.openxmlformats.org/officeDocument/2006/relationships/hyperlink" Target="https://petapixel.com/feed/" TargetMode="External"/><Relationship Id="rId1135" Type="http://schemas.openxmlformats.org/officeDocument/2006/relationships/hyperlink" Target="http://fetchrss.com/rss/63e4e4830f32204f7f522ad263e7902cc8d4094ed97248d2.xml" TargetMode="External"/><Relationship Id="rId1125" Type="http://schemas.openxmlformats.org/officeDocument/2006/relationships/hyperlink" Target="http://fetchrss.com/rss/63e4e4830f32204f7f522ad263e78e0c1386c31d34126313.xml" TargetMode="External"/><Relationship Id="rId1126" Type="http://schemas.openxmlformats.org/officeDocument/2006/relationships/hyperlink" Target="http://fetchrss.com/rss/63e4e4830f32204f7f522ad263e78e2dcefc7e629950a183.xml" TargetMode="External"/><Relationship Id="rId1127" Type="http://schemas.openxmlformats.org/officeDocument/2006/relationships/hyperlink" Target="http://fetchrss.com/rss/63e4e4830f32204f7f522ad263e78e7b125d5961b9490462.xml" TargetMode="External"/><Relationship Id="rId1128" Type="http://schemas.openxmlformats.org/officeDocument/2006/relationships/hyperlink" Target="http://fetchrss.com/rss/63e4e4830f32204f7f522ad263e78eca65c2a833c477df32.xml" TargetMode="External"/><Relationship Id="rId1129" Type="http://schemas.openxmlformats.org/officeDocument/2006/relationships/hyperlink" Target="http://fetchrss.com/rss/63e4e4830f32204f7f522ad263e78eeba5a30a44c177af92.xml" TargetMode="External"/><Relationship Id="rId536" Type="http://schemas.openxmlformats.org/officeDocument/2006/relationships/hyperlink" Target="https://newsapi.org/v2/everything?domains=" TargetMode="External"/><Relationship Id="rId778" Type="http://schemas.openxmlformats.org/officeDocument/2006/relationships/hyperlink" Target="https://newsapi.org/v2/everything?domains=" TargetMode="External"/><Relationship Id="rId535" Type="http://schemas.openxmlformats.org/officeDocument/2006/relationships/hyperlink" Target="https://encyclopedia.1914-1918-online.net/articles/" TargetMode="External"/><Relationship Id="rId777" Type="http://schemas.openxmlformats.org/officeDocument/2006/relationships/hyperlink" Target="https://www.pcworld.com/" TargetMode="External"/><Relationship Id="rId534" Type="http://schemas.openxmlformats.org/officeDocument/2006/relationships/hyperlink" Target="https://encyclopedia.1914-1918-online.net/rss/new-articles.xml" TargetMode="External"/><Relationship Id="rId776" Type="http://schemas.openxmlformats.org/officeDocument/2006/relationships/hyperlink" Target="https://newsapi.org/v2/everything?domains=" TargetMode="External"/><Relationship Id="rId533" Type="http://schemas.openxmlformats.org/officeDocument/2006/relationships/hyperlink" Target="https://www.institutionalinvestor.com/rss.xml" TargetMode="External"/><Relationship Id="rId775" Type="http://schemas.openxmlformats.org/officeDocument/2006/relationships/hyperlink" Target="https://www.pcmag.com/" TargetMode="External"/><Relationship Id="rId539" Type="http://schemas.openxmlformats.org/officeDocument/2006/relationships/hyperlink" Target="https://newsapi.org/v2/everything?domains=" TargetMode="External"/><Relationship Id="rId538" Type="http://schemas.openxmlformats.org/officeDocument/2006/relationships/hyperlink" Target="https://iep.utm.edu/" TargetMode="External"/><Relationship Id="rId537" Type="http://schemas.openxmlformats.org/officeDocument/2006/relationships/hyperlink" Target="https://iep.utm.edu/feed/" TargetMode="External"/><Relationship Id="rId779" Type="http://schemas.openxmlformats.org/officeDocument/2006/relationships/hyperlink" Target="http://fetchrss.com/rss/63e4e4830f32204f7f522ad263ef4e78c6230124a347d7d2.xml" TargetMode="External"/><Relationship Id="rId770" Type="http://schemas.openxmlformats.org/officeDocument/2006/relationships/hyperlink" Target="https://www.palladiummag.com/feed/index.xml" TargetMode="External"/><Relationship Id="rId1120" Type="http://schemas.openxmlformats.org/officeDocument/2006/relationships/hyperlink" Target="http://fetchrss.com/rss/63e4e4830f32204f7f522ad263e78d7ffb662b079165c152.xml" TargetMode="External"/><Relationship Id="rId532" Type="http://schemas.openxmlformats.org/officeDocument/2006/relationships/hyperlink" Target="https://instapundit.substack.com/feed" TargetMode="External"/><Relationship Id="rId774" Type="http://schemas.openxmlformats.org/officeDocument/2006/relationships/hyperlink" Target="https://newsapi.org/v2/everything?domains=" TargetMode="External"/><Relationship Id="rId1121" Type="http://schemas.openxmlformats.org/officeDocument/2006/relationships/hyperlink" Target="https://yaleclimateconnections.org/feed/" TargetMode="External"/><Relationship Id="rId531" Type="http://schemas.openxmlformats.org/officeDocument/2006/relationships/hyperlink" Target="https://newsapi.org/v2/everything?domains=" TargetMode="External"/><Relationship Id="rId773" Type="http://schemas.openxmlformats.org/officeDocument/2006/relationships/hyperlink" Target="http://paulgraham.com/articles.html" TargetMode="External"/><Relationship Id="rId1122" Type="http://schemas.openxmlformats.org/officeDocument/2006/relationships/hyperlink" Target="https://yaleclimateconnections.org/" TargetMode="External"/><Relationship Id="rId530" Type="http://schemas.openxmlformats.org/officeDocument/2006/relationships/hyperlink" Target="https://www.insiderintelligence.com/" TargetMode="External"/><Relationship Id="rId772" Type="http://schemas.openxmlformats.org/officeDocument/2006/relationships/hyperlink" Target="http://www.aaronsw.com/2002/feeds/pgessays.rss" TargetMode="External"/><Relationship Id="rId1123" Type="http://schemas.openxmlformats.org/officeDocument/2006/relationships/hyperlink" Target="https://newsapi.org/v2/everything?domains=" TargetMode="External"/><Relationship Id="rId771" Type="http://schemas.openxmlformats.org/officeDocument/2006/relationships/hyperlink" Target="https://dgardner.substack.com/" TargetMode="External"/><Relationship Id="rId1124" Type="http://schemas.openxmlformats.org/officeDocument/2006/relationships/hyperlink" Target="http://fetchrss.com/rss/63e4e4830f32204f7f522ad263e78dcacefc7e629950a182.xml" TargetMode="External"/><Relationship Id="rId1158" Type="http://schemas.openxmlformats.org/officeDocument/2006/relationships/hyperlink" Target="http://fetchrss.com/rss/63e4e4830f32204f7f522ad2640ddc13f952e50eac3f0962.xml" TargetMode="External"/><Relationship Id="rId1159" Type="http://schemas.openxmlformats.org/officeDocument/2006/relationships/hyperlink" Target="http://fetchrss.com/rss/63e4e4830f32204f7f522ad2640ddc3da4d769385406c962.xml" TargetMode="External"/><Relationship Id="rId327" Type="http://schemas.openxmlformats.org/officeDocument/2006/relationships/hyperlink" Target="http://fetchrss.com/rss/63e4e4830f32204f7f522ad263ef454c1a5f457feb771d42.xml" TargetMode="External"/><Relationship Id="rId569" Type="http://schemas.openxmlformats.org/officeDocument/2006/relationships/hyperlink" Target="https://newsapi.org/v2/everything?domains=" TargetMode="External"/><Relationship Id="rId326" Type="http://schemas.openxmlformats.org/officeDocument/2006/relationships/hyperlink" Target="http://fetchrss.com/rss/63e4e4830f32204f7f522ad263ef4528542a1e0da519d662.xml" TargetMode="External"/><Relationship Id="rId568" Type="http://schemas.openxmlformats.org/officeDocument/2006/relationships/hyperlink" Target="https://www.lofficielusa.com/" TargetMode="External"/><Relationship Id="rId325" Type="http://schemas.openxmlformats.org/officeDocument/2006/relationships/hyperlink" Target="https://newsapi.org/v2/everything?domains=" TargetMode="External"/><Relationship Id="rId567" Type="http://schemas.openxmlformats.org/officeDocument/2006/relationships/hyperlink" Target="http://fetchrss.com/rss/63e4e4830f32204f7f522ad263eeac75651558008e3693e2.xml" TargetMode="External"/><Relationship Id="rId324" Type="http://schemas.openxmlformats.org/officeDocument/2006/relationships/hyperlink" Target="https://dergigi.com/" TargetMode="External"/><Relationship Id="rId566" Type="http://schemas.openxmlformats.org/officeDocument/2006/relationships/hyperlink" Target="https://newsapi.org/v2/everything?domains=" TargetMode="External"/><Relationship Id="rId329" Type="http://schemas.openxmlformats.org/officeDocument/2006/relationships/hyperlink" Target="https://www.designboom.com/" TargetMode="External"/><Relationship Id="rId328" Type="http://schemas.openxmlformats.org/officeDocument/2006/relationships/hyperlink" Target="http://fetchrss.com/rss/63e4e4830f32204f7f522ad263ef4505f9e2702b39372d92.xml" TargetMode="External"/><Relationship Id="rId561" Type="http://schemas.openxmlformats.org/officeDocument/2006/relationships/hyperlink" Target="https://newsapi.org/v2/everything?domains=" TargetMode="External"/><Relationship Id="rId1150" Type="http://schemas.openxmlformats.org/officeDocument/2006/relationships/hyperlink" Target="https://huddleup.substack.com/" TargetMode="External"/><Relationship Id="rId560" Type="http://schemas.openxmlformats.org/officeDocument/2006/relationships/hyperlink" Target="https://www.joelonsoftware.com/2000/04/06/things-you-should-never-do-part-i/" TargetMode="External"/><Relationship Id="rId1151" Type="http://schemas.openxmlformats.org/officeDocument/2006/relationships/hyperlink" Target="https://rudy.substack.com/" TargetMode="External"/><Relationship Id="rId1152" Type="http://schemas.openxmlformats.org/officeDocument/2006/relationships/hyperlink" Target="https://stayathomemacro.substack.com/" TargetMode="External"/><Relationship Id="rId1153" Type="http://schemas.openxmlformats.org/officeDocument/2006/relationships/hyperlink" Target="https://calculatedrisk.substack.com/" TargetMode="External"/><Relationship Id="rId323" Type="http://schemas.openxmlformats.org/officeDocument/2006/relationships/hyperlink" Target="http://fetchrss.com/rss/63e4e4830f32204f7f522ad263efbb6890902f480e23dff2.xml" TargetMode="External"/><Relationship Id="rId565" Type="http://schemas.openxmlformats.org/officeDocument/2006/relationships/hyperlink" Target="https://kotaku.com/" TargetMode="External"/><Relationship Id="rId1154" Type="http://schemas.openxmlformats.org/officeDocument/2006/relationships/hyperlink" Target="http://fetchrss.com/rss/63e4e4830f32204f7f522ad2640da67abbb4de0bbd3cdd22.xml" TargetMode="External"/><Relationship Id="rId322" Type="http://schemas.openxmlformats.org/officeDocument/2006/relationships/hyperlink" Target="https://decor8.substack.com/" TargetMode="External"/><Relationship Id="rId564" Type="http://schemas.openxmlformats.org/officeDocument/2006/relationships/hyperlink" Target="http://juxtapoz.com/news/?format=fe.." TargetMode="External"/><Relationship Id="rId1155" Type="http://schemas.openxmlformats.org/officeDocument/2006/relationships/hyperlink" Target="https://fredblog.stlouisfed.org/feed/" TargetMode="External"/><Relationship Id="rId321" Type="http://schemas.openxmlformats.org/officeDocument/2006/relationships/hyperlink" Target="https://newsapi.org/v2/everything?domains=" TargetMode="External"/><Relationship Id="rId563" Type="http://schemas.openxmlformats.org/officeDocument/2006/relationships/hyperlink" Target="https://chiyoungkim.substack.com/feed" TargetMode="External"/><Relationship Id="rId1156" Type="http://schemas.openxmlformats.org/officeDocument/2006/relationships/hyperlink" Target="http://fetchrss.com/rss/63e4e4830f32204f7f522ad2640daa99cc087b482f466332.xml" TargetMode="External"/><Relationship Id="rId320" Type="http://schemas.openxmlformats.org/officeDocument/2006/relationships/hyperlink" Target="https://www.dazeddigital.com/" TargetMode="External"/><Relationship Id="rId562" Type="http://schemas.openxmlformats.org/officeDocument/2006/relationships/hyperlink" Target="https://www.jonstokes.com/" TargetMode="External"/><Relationship Id="rId1157" Type="http://schemas.openxmlformats.org/officeDocument/2006/relationships/hyperlink" Target="https://www.lionsroar.com/" TargetMode="External"/><Relationship Id="rId1147" Type="http://schemas.openxmlformats.org/officeDocument/2006/relationships/hyperlink" Target="https://markmcqueen.substack.com/" TargetMode="External"/><Relationship Id="rId1148" Type="http://schemas.openxmlformats.org/officeDocument/2006/relationships/hyperlink" Target="https://www.flowstate.fm/" TargetMode="External"/><Relationship Id="rId1149" Type="http://schemas.openxmlformats.org/officeDocument/2006/relationships/hyperlink" Target="https://fidenza.substack.com/" TargetMode="External"/><Relationship Id="rId316" Type="http://schemas.openxmlformats.org/officeDocument/2006/relationships/hyperlink" Target="https://newsapi.org/v2/everything?domains=" TargetMode="External"/><Relationship Id="rId558" Type="http://schemas.openxmlformats.org/officeDocument/2006/relationships/hyperlink" Target="https://newsapi.org/v2/everything?domains=" TargetMode="External"/><Relationship Id="rId315" Type="http://schemas.openxmlformats.org/officeDocument/2006/relationships/hyperlink" Target="http://www.davidbordwell.net/blog/" TargetMode="External"/><Relationship Id="rId557" Type="http://schemas.openxmlformats.org/officeDocument/2006/relationships/hyperlink" Target="https://jonathanrosenbaum.net/" TargetMode="External"/><Relationship Id="rId799" Type="http://schemas.openxmlformats.org/officeDocument/2006/relationships/hyperlink" Target="https://physicstoday.scitation.org/feed/most-recent" TargetMode="External"/><Relationship Id="rId314" Type="http://schemas.openxmlformats.org/officeDocument/2006/relationships/hyperlink" Target="https://www.davidbordwell.net/blog/feed/" TargetMode="External"/><Relationship Id="rId556" Type="http://schemas.openxmlformats.org/officeDocument/2006/relationships/hyperlink" Target="https://jonathanrosenbaum.net/feed/" TargetMode="External"/><Relationship Id="rId798" Type="http://schemas.openxmlformats.org/officeDocument/2006/relationships/hyperlink" Target="https://newsapi.org/v2/everything?domains=" TargetMode="External"/><Relationship Id="rId313" Type="http://schemas.openxmlformats.org/officeDocument/2006/relationships/hyperlink" Target="https://newsapi.org/v2/everything?domains=" TargetMode="External"/><Relationship Id="rId555" Type="http://schemas.openxmlformats.org/officeDocument/2006/relationships/hyperlink" Target="https://newsapi.org/v2/everything?domains=" TargetMode="External"/><Relationship Id="rId797" Type="http://schemas.openxmlformats.org/officeDocument/2006/relationships/hyperlink" Target="https://phys.org/" TargetMode="External"/><Relationship Id="rId319" Type="http://schemas.openxmlformats.org/officeDocument/2006/relationships/hyperlink" Target="https://davidepstein.substack.com/feed" TargetMode="External"/><Relationship Id="rId318" Type="http://schemas.openxmlformats.org/officeDocument/2006/relationships/hyperlink" Target="https://newsapi.org/v2/everything?domains=" TargetMode="External"/><Relationship Id="rId317" Type="http://schemas.openxmlformats.org/officeDocument/2006/relationships/hyperlink" Target="https://davidduchemin.com/" TargetMode="External"/><Relationship Id="rId559" Type="http://schemas.openxmlformats.org/officeDocument/2006/relationships/hyperlink" Target="https://www.joelonsoftware.com/feed/" TargetMode="External"/><Relationship Id="rId550" Type="http://schemas.openxmlformats.org/officeDocument/2006/relationships/hyperlink" Target="https://www.jesperjuul.net/ludologist/feed/" TargetMode="External"/><Relationship Id="rId792" Type="http://schemas.openxmlformats.org/officeDocument/2006/relationships/hyperlink" Target="https://philosophynow.org/" TargetMode="External"/><Relationship Id="rId791" Type="http://schemas.openxmlformats.org/officeDocument/2006/relationships/hyperlink" Target="https://philosophynow.org/rss" TargetMode="External"/><Relationship Id="rId1140" Type="http://schemas.openxmlformats.org/officeDocument/2006/relationships/hyperlink" Target="https://ella.substack.com/feed" TargetMode="External"/><Relationship Id="rId790" Type="http://schemas.openxmlformats.org/officeDocument/2006/relationships/hyperlink" Target="https://newsapi.org/v2/everything?domains=" TargetMode="External"/><Relationship Id="rId1141" Type="http://schemas.openxmlformats.org/officeDocument/2006/relationships/hyperlink" Target="http://youredm.com/feed" TargetMode="External"/><Relationship Id="rId1142" Type="http://schemas.openxmlformats.org/officeDocument/2006/relationships/hyperlink" Target="https://www.zdnet.com/" TargetMode="External"/><Relationship Id="rId312" Type="http://schemas.openxmlformats.org/officeDocument/2006/relationships/hyperlink" Target="http://datacolada.org/" TargetMode="External"/><Relationship Id="rId554" Type="http://schemas.openxmlformats.org/officeDocument/2006/relationships/hyperlink" Target="https://blog.jim-nielsen.com/" TargetMode="External"/><Relationship Id="rId796" Type="http://schemas.openxmlformats.org/officeDocument/2006/relationships/hyperlink" Target="http://feeds.feedburner.com/Photofo.." TargetMode="External"/><Relationship Id="rId1143" Type="http://schemas.openxmlformats.org/officeDocument/2006/relationships/hyperlink" Target="https://newsapi.org/v2/everything?domains=" TargetMode="External"/><Relationship Id="rId311" Type="http://schemas.openxmlformats.org/officeDocument/2006/relationships/hyperlink" Target="https://datacolada.org/feed" TargetMode="External"/><Relationship Id="rId553" Type="http://schemas.openxmlformats.org/officeDocument/2006/relationships/hyperlink" Target="https://blog.jim-nielsen.com/feed.xml" TargetMode="External"/><Relationship Id="rId795" Type="http://schemas.openxmlformats.org/officeDocument/2006/relationships/hyperlink" Target="https://newsapi.org/v2/everything?domains=" TargetMode="External"/><Relationship Id="rId1144" Type="http://schemas.openxmlformats.org/officeDocument/2006/relationships/hyperlink" Target="https://www.techemails.com/feed" TargetMode="External"/><Relationship Id="rId310" Type="http://schemas.openxmlformats.org/officeDocument/2006/relationships/hyperlink" Target="https://newsapi.org/v2/everything?domains=" TargetMode="External"/><Relationship Id="rId552" Type="http://schemas.openxmlformats.org/officeDocument/2006/relationships/hyperlink" Target="https://newsapi.org/v2/everything?domains=" TargetMode="External"/><Relationship Id="rId794" Type="http://schemas.openxmlformats.org/officeDocument/2006/relationships/hyperlink" Target="https://www.phoronix.com/" TargetMode="External"/><Relationship Id="rId1145" Type="http://schemas.openxmlformats.org/officeDocument/2006/relationships/hyperlink" Target="https://prayingforexits.substack.com/feed" TargetMode="External"/><Relationship Id="rId551" Type="http://schemas.openxmlformats.org/officeDocument/2006/relationships/hyperlink" Target="http://www.jesperjuul.net/ludologist/" TargetMode="External"/><Relationship Id="rId793" Type="http://schemas.openxmlformats.org/officeDocument/2006/relationships/hyperlink" Target="https://newsapi.org/v2/everything?domains=" TargetMode="External"/><Relationship Id="rId1146" Type="http://schemas.openxmlformats.org/officeDocument/2006/relationships/hyperlink" Target="https://chamathreads.substack.com/feed" TargetMode="External"/><Relationship Id="rId297" Type="http://schemas.openxmlformats.org/officeDocument/2006/relationships/hyperlink" Target="http://fetchrss.com/rss/63e4e4830f32204f7f522ad263e798282b835e6ba736f372.xml" TargetMode="External"/><Relationship Id="rId296" Type="http://schemas.openxmlformats.org/officeDocument/2006/relationships/hyperlink" Target="http://fetchrss.com/rss/63e4e4830f32204f7f522ad263e797548287d217df0fb012.xml" TargetMode="External"/><Relationship Id="rId295" Type="http://schemas.openxmlformats.org/officeDocument/2006/relationships/hyperlink" Target="http://fetchrss.com/rss/63e4e4830f32204f7f522ad263e79705def77f5788700872.xml" TargetMode="External"/><Relationship Id="rId294" Type="http://schemas.openxmlformats.org/officeDocument/2006/relationships/hyperlink" Target="http://fetchrss.com/rss/63e4e4830f32204f7f522ad263e797d9def77f5788700873.xml" TargetMode="External"/><Relationship Id="rId299" Type="http://schemas.openxmlformats.org/officeDocument/2006/relationships/hyperlink" Target="https://dailynous.com/feed/" TargetMode="External"/><Relationship Id="rId298" Type="http://schemas.openxmlformats.org/officeDocument/2006/relationships/hyperlink" Target="http://fetchrss.com/rss/63e4e4830f32204f7f522ad263e79858def77f5788700874.xml" TargetMode="External"/><Relationship Id="rId271" Type="http://schemas.openxmlformats.org/officeDocument/2006/relationships/hyperlink" Target="https://criticalfallibilism.com/" TargetMode="External"/><Relationship Id="rId270" Type="http://schemas.openxmlformats.org/officeDocument/2006/relationships/hyperlink" Target="https://criticalfallibilism.com/posts/rss/" TargetMode="External"/><Relationship Id="rId269" Type="http://schemas.openxmlformats.org/officeDocument/2006/relationships/hyperlink" Target="https://newsapi.org/v2/everything?domains=" TargetMode="External"/><Relationship Id="rId264" Type="http://schemas.openxmlformats.org/officeDocument/2006/relationships/hyperlink" Target="https://craigmod.com/index.xml" TargetMode="External"/><Relationship Id="rId263" Type="http://schemas.openxmlformats.org/officeDocument/2006/relationships/hyperlink" Target="https://newsapi.org/v2/everything?domains=" TargetMode="External"/><Relationship Id="rId262" Type="http://schemas.openxmlformats.org/officeDocument/2006/relationships/hyperlink" Target="https://www.countbayesie.com/blog" TargetMode="External"/><Relationship Id="rId261" Type="http://schemas.openxmlformats.org/officeDocument/2006/relationships/hyperlink" Target="https://www.countbayesie.com/?format=rss" TargetMode="External"/><Relationship Id="rId268" Type="http://schemas.openxmlformats.org/officeDocument/2006/relationships/hyperlink" Target="https://creativemarket.com/blog" TargetMode="External"/><Relationship Id="rId267" Type="http://schemas.openxmlformats.org/officeDocument/2006/relationships/hyperlink" Target="https://creativemarket.com/blog/feed" TargetMode="External"/><Relationship Id="rId266" Type="http://schemas.openxmlformats.org/officeDocument/2006/relationships/hyperlink" Target="https://newsapi.org/v2/everything?domains=" TargetMode="External"/><Relationship Id="rId265" Type="http://schemas.openxmlformats.org/officeDocument/2006/relationships/hyperlink" Target="https://craigmod.com/" TargetMode="External"/><Relationship Id="rId260" Type="http://schemas.openxmlformats.org/officeDocument/2006/relationships/hyperlink" Target="https://newsapi.org/v2/everything?domains=" TargetMode="External"/><Relationship Id="rId259" Type="http://schemas.openxmlformats.org/officeDocument/2006/relationships/hyperlink" Target="https://copyblogger.com/" TargetMode="External"/><Relationship Id="rId258" Type="http://schemas.openxmlformats.org/officeDocument/2006/relationships/hyperlink" Target="https://copyblogger.com/blog/feed/" TargetMode="External"/><Relationship Id="rId253" Type="http://schemas.openxmlformats.org/officeDocument/2006/relationships/hyperlink" Target="http://fetchrss.com/rss/63e4e4830f32204f7f522ad26400986357ac106231234bb2.xml" TargetMode="External"/><Relationship Id="rId495" Type="http://schemas.openxmlformats.org/officeDocument/2006/relationships/hyperlink" Target="https://hackaday.com/blog/feed/" TargetMode="External"/><Relationship Id="rId252" Type="http://schemas.openxmlformats.org/officeDocument/2006/relationships/hyperlink" Target="http://fetchrss.com/rss/63e4e4830f32204f7f522ad263ee395b62008440865e9df4.xml" TargetMode="External"/><Relationship Id="rId494" Type="http://schemas.openxmlformats.org/officeDocument/2006/relationships/hyperlink" Target="http://fetchrss.com/rss/63e4e4830f32204f7f522ad26405dd6108c84b3e1d650232.xml" TargetMode="External"/><Relationship Id="rId251" Type="http://schemas.openxmlformats.org/officeDocument/2006/relationships/hyperlink" Target="http://fetchrss.com/rss/63e4e4830f32204f7f522ad263ee3913643da152de4ddad3.xml" TargetMode="External"/><Relationship Id="rId493" Type="http://schemas.openxmlformats.org/officeDocument/2006/relationships/hyperlink" Target="https://newsapi.org/v2/everything?domains=" TargetMode="External"/><Relationship Id="rId250" Type="http://schemas.openxmlformats.org/officeDocument/2006/relationships/hyperlink" Target="https://newsapi.org/v2/everything?domains=" TargetMode="External"/><Relationship Id="rId492" Type="http://schemas.openxmlformats.org/officeDocument/2006/relationships/hyperlink" Target="https://guytal.blog/" TargetMode="External"/><Relationship Id="rId257" Type="http://schemas.openxmlformats.org/officeDocument/2006/relationships/hyperlink" Target="https://newsapi.org/v2/everything?domains=" TargetMode="External"/><Relationship Id="rId499" Type="http://schemas.openxmlformats.org/officeDocument/2006/relationships/hyperlink" Target="https://harpers.org/" TargetMode="External"/><Relationship Id="rId256" Type="http://schemas.openxmlformats.org/officeDocument/2006/relationships/hyperlink" Target="https://contentmarketinginstitute.com/blog/" TargetMode="External"/><Relationship Id="rId498" Type="http://schemas.openxmlformats.org/officeDocument/2006/relationships/hyperlink" Target="https://hakaimagazine.com/feed/" TargetMode="External"/><Relationship Id="rId255" Type="http://schemas.openxmlformats.org/officeDocument/2006/relationships/hyperlink" Target="https://newsapi.org/v2/everything?domains=" TargetMode="External"/><Relationship Id="rId497" Type="http://schemas.openxmlformats.org/officeDocument/2006/relationships/hyperlink" Target="https://newsapi.org/v2/everything?domains=" TargetMode="External"/><Relationship Id="rId254" Type="http://schemas.openxmlformats.org/officeDocument/2006/relationships/hyperlink" Target="https://constructionphysics.substack.com/feed" TargetMode="External"/><Relationship Id="rId496" Type="http://schemas.openxmlformats.org/officeDocument/2006/relationships/hyperlink" Target="https://hackaday.com/" TargetMode="External"/><Relationship Id="rId293" Type="http://schemas.openxmlformats.org/officeDocument/2006/relationships/hyperlink" Target="http://fetchrss.com/rss/63e4e4830f32204f7f522ad263e797ab586b8b0a9b075172.xml" TargetMode="External"/><Relationship Id="rId292" Type="http://schemas.openxmlformats.org/officeDocument/2006/relationships/hyperlink" Target="http://fetchrss.com/rss/63e4e4830f32204f7f522ad263e796c8ac74a73dd371d112.xml" TargetMode="External"/><Relationship Id="rId291" Type="http://schemas.openxmlformats.org/officeDocument/2006/relationships/hyperlink" Target="http://fetchrss.com/rss/63e4e4830f32204f7f522ad263e796a915a81415ed6b4cf2.xml" TargetMode="External"/><Relationship Id="rId290" Type="http://schemas.openxmlformats.org/officeDocument/2006/relationships/hyperlink" Target="http://fetchrss.com/rss/63e4e4830f32204f7f522ad263e797548287d217df0fb012.xml" TargetMode="External"/><Relationship Id="rId286" Type="http://schemas.openxmlformats.org/officeDocument/2006/relationships/hyperlink" Target="https://newsapi.org/v2/everything?domains=" TargetMode="External"/><Relationship Id="rId285" Type="http://schemas.openxmlformats.org/officeDocument/2006/relationships/hyperlink" Target="https://www.curbed.com/" TargetMode="External"/><Relationship Id="rId284" Type="http://schemas.openxmlformats.org/officeDocument/2006/relationships/hyperlink" Target="https://newsapi.org/v2/everything?domains=" TargetMode="External"/><Relationship Id="rId283" Type="http://schemas.openxmlformats.org/officeDocument/2006/relationships/hyperlink" Target="https://www.csis.org/" TargetMode="External"/><Relationship Id="rId289" Type="http://schemas.openxmlformats.org/officeDocument/2006/relationships/hyperlink" Target="http://fetchrss.com/rss/63e4e4830f32204f7f522ad263e7972fc4e80232bb7ef4c2.xml" TargetMode="External"/><Relationship Id="rId288" Type="http://schemas.openxmlformats.org/officeDocument/2006/relationships/hyperlink" Target="http://fetchrss.com/rss/63e4e4830f32204f7f522ad263e79805cb7b6064f94de162.xml" TargetMode="External"/><Relationship Id="rId287" Type="http://schemas.openxmlformats.org/officeDocument/2006/relationships/hyperlink" Target="http://fetchrss.com/rss/63e4e4830f32204f7f522ad263e79394db568b225d0dc104.xml" TargetMode="External"/><Relationship Id="rId282" Type="http://schemas.openxmlformats.org/officeDocument/2006/relationships/hyperlink" Target="http://cryptopotato.com/feed" TargetMode="External"/><Relationship Id="rId281" Type="http://schemas.openxmlformats.org/officeDocument/2006/relationships/hyperlink" Target="https://newsapi.org/v2/everything?domains=" TargetMode="External"/><Relationship Id="rId280" Type="http://schemas.openxmlformats.org/officeDocument/2006/relationships/hyperlink" Target="https://cryptomarketpool.com/" TargetMode="External"/><Relationship Id="rId275" Type="http://schemas.openxmlformats.org/officeDocument/2006/relationships/hyperlink" Target="https://newsapi.org/v2/everything?domains=" TargetMode="External"/><Relationship Id="rId274" Type="http://schemas.openxmlformats.org/officeDocument/2006/relationships/hyperlink" Target="https://crookedtimber.org/" TargetMode="External"/><Relationship Id="rId273" Type="http://schemas.openxmlformats.org/officeDocument/2006/relationships/hyperlink" Target="https://crookedtimber.org/feed/" TargetMode="External"/><Relationship Id="rId272" Type="http://schemas.openxmlformats.org/officeDocument/2006/relationships/hyperlink" Target="https://newsapi.org/v2/everything?domains=" TargetMode="External"/><Relationship Id="rId279" Type="http://schemas.openxmlformats.org/officeDocument/2006/relationships/hyperlink" Target="http://fetchrss.com/rss/63e4e4830f32204f7f522ad263ee31e9d6867776b73159e2.xml" TargetMode="External"/><Relationship Id="rId278" Type="http://schemas.openxmlformats.org/officeDocument/2006/relationships/hyperlink" Target="https://newsapi.org/v2/everything?domains=" TargetMode="External"/><Relationship Id="rId277" Type="http://schemas.openxmlformats.org/officeDocument/2006/relationships/hyperlink" Target="https://www.crunchbase.com/" TargetMode="External"/><Relationship Id="rId276" Type="http://schemas.openxmlformats.org/officeDocument/2006/relationships/hyperlink" Target="http://fetchrss.com/rss/63e4e4830f32204f7f522ad263ee318a8d427c0f3428cd53.xml" TargetMode="External"/><Relationship Id="rId907" Type="http://schemas.openxmlformats.org/officeDocument/2006/relationships/hyperlink" Target="https://newsapi.org/v2/everything?domains=" TargetMode="External"/><Relationship Id="rId906" Type="http://schemas.openxmlformats.org/officeDocument/2006/relationships/hyperlink" Target="https://seths.blog/" TargetMode="External"/><Relationship Id="rId905" Type="http://schemas.openxmlformats.org/officeDocument/2006/relationships/hyperlink" Target="https://newsapi.org/v2/everything?domains=" TargetMode="External"/><Relationship Id="rId904" Type="http://schemas.openxmlformats.org/officeDocument/2006/relationships/hyperlink" Target="https://serhack.me/" TargetMode="External"/><Relationship Id="rId909" Type="http://schemas.openxmlformats.org/officeDocument/2006/relationships/hyperlink" Target="https://www.editorx.com/shaping-design/blog-feed.xml" TargetMode="External"/><Relationship Id="rId908" Type="http://schemas.openxmlformats.org/officeDocument/2006/relationships/hyperlink" Target="https://seymourhersh.substack.com/feed" TargetMode="External"/><Relationship Id="rId903" Type="http://schemas.openxmlformats.org/officeDocument/2006/relationships/hyperlink" Target="http://fetchrss.com/rss/63e4e4830f32204f7f522ad263efbe3149953f71b5509a22.xml" TargetMode="External"/><Relationship Id="rId902" Type="http://schemas.openxmlformats.org/officeDocument/2006/relationships/hyperlink" Target="https://newsapi.org/v2/everything?domains=" TargetMode="External"/><Relationship Id="rId901" Type="http://schemas.openxmlformats.org/officeDocument/2006/relationships/hyperlink" Target="https://separatedbyacommonlanguage.blogspot.com/" TargetMode="External"/><Relationship Id="rId900" Type="http://schemas.openxmlformats.org/officeDocument/2006/relationships/hyperlink" Target="http://feeds.feedburner.com/blogspot/Ckyi" TargetMode="External"/><Relationship Id="rId929" Type="http://schemas.openxmlformats.org/officeDocument/2006/relationships/hyperlink" Target="https://spaceflightnow.com/" TargetMode="External"/><Relationship Id="rId928" Type="http://schemas.openxmlformats.org/officeDocument/2006/relationships/hyperlink" Target="http://fetchrss.com/rss/63e4e4830f32204f7f522ad263ef4c7d30640325a4347bf2.xml" TargetMode="External"/><Relationship Id="rId927" Type="http://schemas.openxmlformats.org/officeDocument/2006/relationships/hyperlink" Target="https://newsapi.org/v2/everything?domains=" TargetMode="External"/><Relationship Id="rId926" Type="http://schemas.openxmlformats.org/officeDocument/2006/relationships/hyperlink" Target="https://www.smithsonianmag.com/" TargetMode="External"/><Relationship Id="rId921" Type="http://schemas.openxmlformats.org/officeDocument/2006/relationships/hyperlink" Target="http://fetchrss.com/rss/63e4e4830f32204f7f522ad263ee2a635988eb0b2e3d4092.xml" TargetMode="External"/><Relationship Id="rId920" Type="http://schemas.openxmlformats.org/officeDocument/2006/relationships/hyperlink" Target="https://newsapi.org/v2/everything?domains=" TargetMode="External"/><Relationship Id="rId925" Type="http://schemas.openxmlformats.org/officeDocument/2006/relationships/hyperlink" Target="https://newsapi.org/v2/everything?domains=" TargetMode="External"/><Relationship Id="rId924" Type="http://schemas.openxmlformats.org/officeDocument/2006/relationships/hyperlink" Target="https://www.smashingmagazine.com/" TargetMode="External"/><Relationship Id="rId923" Type="http://schemas.openxmlformats.org/officeDocument/2006/relationships/hyperlink" Target="https://newsapi.org/v2/everything?domains=" TargetMode="External"/><Relationship Id="rId922" Type="http://schemas.openxmlformats.org/officeDocument/2006/relationships/hyperlink" Target="https://smarthistory.org/" TargetMode="External"/><Relationship Id="rId918" Type="http://schemas.openxmlformats.org/officeDocument/2006/relationships/hyperlink" Target="https://newsapi.org/v2/everything?domains=" TargetMode="External"/><Relationship Id="rId917" Type="http://schemas.openxmlformats.org/officeDocument/2006/relationships/hyperlink" Target="https://skyandtelescope.org/" TargetMode="External"/><Relationship Id="rId916" Type="http://schemas.openxmlformats.org/officeDocument/2006/relationships/hyperlink" Target="https://skyandtelescope.com/astronomy-news/feed/" TargetMode="External"/><Relationship Id="rId915" Type="http://schemas.openxmlformats.org/officeDocument/2006/relationships/hyperlink" Target="https://newsapi.org/v2/everything?domains=" TargetMode="External"/><Relationship Id="rId919" Type="http://schemas.openxmlformats.org/officeDocument/2006/relationships/hyperlink" Target="https://www.slrlounge.com/" TargetMode="External"/><Relationship Id="rId910" Type="http://schemas.openxmlformats.org/officeDocument/2006/relationships/hyperlink" Target="https://scottaaronson.blog/?feed=rss2" TargetMode="External"/><Relationship Id="rId914" Type="http://schemas.openxmlformats.org/officeDocument/2006/relationships/hyperlink" Target="https://www.sipri.org/" TargetMode="External"/><Relationship Id="rId913" Type="http://schemas.openxmlformats.org/officeDocument/2006/relationships/hyperlink" Target="https://www.sipri.org/rss/combined.xml" TargetMode="External"/><Relationship Id="rId912" Type="http://schemas.openxmlformats.org/officeDocument/2006/relationships/hyperlink" Target="https://newsapi.org/v2/everything?domains=" TargetMode="External"/><Relationship Id="rId911" Type="http://schemas.openxmlformats.org/officeDocument/2006/relationships/hyperlink" Target="https://singularityhub.com/topics/" TargetMode="External"/><Relationship Id="rId1213" Type="http://schemas.openxmlformats.org/officeDocument/2006/relationships/hyperlink" Target="https://www.washington.edu/news/category/science/feed/" TargetMode="External"/><Relationship Id="rId1214" Type="http://schemas.openxmlformats.org/officeDocument/2006/relationships/hyperlink" Target="https://www.washington.edu/news/category/technology/feed/" TargetMode="External"/><Relationship Id="rId1215" Type="http://schemas.openxmlformats.org/officeDocument/2006/relationships/drawing" Target="../drawings/drawing1.xml"/><Relationship Id="rId629" Type="http://schemas.openxmlformats.org/officeDocument/2006/relationships/hyperlink" Target="https://www.mckinsey.com/" TargetMode="External"/><Relationship Id="rId624" Type="http://schemas.openxmlformats.org/officeDocument/2006/relationships/hyperlink" Target="https://martinfowler.com/" TargetMode="External"/><Relationship Id="rId866" Type="http://schemas.openxmlformats.org/officeDocument/2006/relationships/hyperlink" Target="https://newsapi.org/v2/everything?domains=" TargetMode="External"/><Relationship Id="rId623" Type="http://schemas.openxmlformats.org/officeDocument/2006/relationships/hyperlink" Target="https://martinfowler.com/feed.atom" TargetMode="External"/><Relationship Id="rId865" Type="http://schemas.openxmlformats.org/officeDocument/2006/relationships/hyperlink" Target="https://www.rand.org/" TargetMode="External"/><Relationship Id="rId622" Type="http://schemas.openxmlformats.org/officeDocument/2006/relationships/hyperlink" Target="https://newsapi.org/v2/everything?domains=" TargetMode="External"/><Relationship Id="rId864" Type="http://schemas.openxmlformats.org/officeDocument/2006/relationships/hyperlink" Target="https://newsapi.org/v2/everything?domains=" TargetMode="External"/><Relationship Id="rId621" Type="http://schemas.openxmlformats.org/officeDocument/2006/relationships/hyperlink" Target="https://martech.org/" TargetMode="External"/><Relationship Id="rId863" Type="http://schemas.openxmlformats.org/officeDocument/2006/relationships/hyperlink" Target="https://www.blog.radiator.debacle.us/" TargetMode="External"/><Relationship Id="rId628" Type="http://schemas.openxmlformats.org/officeDocument/2006/relationships/hyperlink" Target="https://newsapi.org/v2/everything?domains=" TargetMode="External"/><Relationship Id="rId627" Type="http://schemas.openxmlformats.org/officeDocument/2006/relationships/hyperlink" Target="https://newsnetwork.mayoclinic.org/" TargetMode="External"/><Relationship Id="rId869" Type="http://schemas.openxmlformats.org/officeDocument/2006/relationships/hyperlink" Target="https://newsapi.org/v2/everything?domains=" TargetMode="External"/><Relationship Id="rId626" Type="http://schemas.openxmlformats.org/officeDocument/2006/relationships/hyperlink" Target="https://www.mayoclinic.org/rss/all-news" TargetMode="External"/><Relationship Id="rId868" Type="http://schemas.openxmlformats.org/officeDocument/2006/relationships/hyperlink" Target="https://www.raphkoster.com/" TargetMode="External"/><Relationship Id="rId625" Type="http://schemas.openxmlformats.org/officeDocument/2006/relationships/hyperlink" Target="https://newsapi.org/v2/everything?domains=" TargetMode="External"/><Relationship Id="rId867" Type="http://schemas.openxmlformats.org/officeDocument/2006/relationships/hyperlink" Target="https://www.raphkoster.com/feed/" TargetMode="External"/><Relationship Id="rId620" Type="http://schemas.openxmlformats.org/officeDocument/2006/relationships/hyperlink" Target="https://newsapi.org/v2/everything?domains=" TargetMode="External"/><Relationship Id="rId862" Type="http://schemas.openxmlformats.org/officeDocument/2006/relationships/hyperlink" Target="https://www.blog.radiator.debacle.us/feeds/posts/default" TargetMode="External"/><Relationship Id="rId861" Type="http://schemas.openxmlformats.org/officeDocument/2006/relationships/hyperlink" Target="https://newsapi.org/v2/everything?domains=" TargetMode="External"/><Relationship Id="rId1210" Type="http://schemas.openxmlformats.org/officeDocument/2006/relationships/hyperlink" Target="https://www.washington.edu/news/category/engineering/feed/" TargetMode="External"/><Relationship Id="rId860" Type="http://schemas.openxmlformats.org/officeDocument/2006/relationships/hyperlink" Target="https://www.quantamagazine.org/" TargetMode="External"/><Relationship Id="rId1211" Type="http://schemas.openxmlformats.org/officeDocument/2006/relationships/hyperlink" Target="https://www.washington.edu/news/category/health-and-medicine/feed/" TargetMode="External"/><Relationship Id="rId1212" Type="http://schemas.openxmlformats.org/officeDocument/2006/relationships/hyperlink" Target="https://www.washington.edu/news/category/environment/feed/" TargetMode="External"/><Relationship Id="rId1202" Type="http://schemas.openxmlformats.org/officeDocument/2006/relationships/hyperlink" Target="https://www.news-medical.net/syndication.axd?format=rss" TargetMode="External"/><Relationship Id="rId1203" Type="http://schemas.openxmlformats.org/officeDocument/2006/relationships/hyperlink" Target="http://fetchrss.com/rss/63e4e4830f32204f7f522ad264104d55872ad1304e1bbf42.xml" TargetMode="External"/><Relationship Id="rId1204" Type="http://schemas.openxmlformats.org/officeDocument/2006/relationships/hyperlink" Target="http://fetchrss.com/rss/63e4e4830f32204f7f522ad264104d90f08992123c589f32.xml" TargetMode="External"/><Relationship Id="rId1205" Type="http://schemas.openxmlformats.org/officeDocument/2006/relationships/hyperlink" Target="http://fetchrss.com/rss/63e4e4830f32204f7f522ad264104dc783e0e941f5573902.xml" TargetMode="External"/><Relationship Id="rId1206" Type="http://schemas.openxmlformats.org/officeDocument/2006/relationships/hyperlink" Target="http://fetchrss.com/rss/63e4e4830f32204f7f522ad264104e2a7f172b0fc137c5a2.xml" TargetMode="External"/><Relationship Id="rId1207" Type="http://schemas.openxmlformats.org/officeDocument/2006/relationships/hyperlink" Target="http://fetchrss.com/rss/63e4e4830f32204f7f522ad264104e692d88c8389833cd72.xml" TargetMode="External"/><Relationship Id="rId1208" Type="http://schemas.openxmlformats.org/officeDocument/2006/relationships/hyperlink" Target="http://fetchrss.com/rss/63e4e4830f32204f7f522ad2641054d58bc077261a442793.xml" TargetMode="External"/><Relationship Id="rId1209" Type="http://schemas.openxmlformats.org/officeDocument/2006/relationships/hyperlink" Target="http://fetchrss.com/rss/63e4e4830f32204f7f522ad2641054f93bdf0512d81c3342.xml" TargetMode="External"/><Relationship Id="rId619" Type="http://schemas.openxmlformats.org/officeDocument/2006/relationships/hyperlink" Target="https://www.marketingdive.com/" TargetMode="External"/><Relationship Id="rId618" Type="http://schemas.openxmlformats.org/officeDocument/2006/relationships/hyperlink" Target="https://www.marketingdive.com/feeds/news/" TargetMode="External"/><Relationship Id="rId613" Type="http://schemas.openxmlformats.org/officeDocument/2006/relationships/hyperlink" Target="https://macsmotorcitygarage.com/" TargetMode="External"/><Relationship Id="rId855" Type="http://schemas.openxmlformats.org/officeDocument/2006/relationships/hyperlink" Target="http://psychsciencenotes.blogspot.com/" TargetMode="External"/><Relationship Id="rId612" Type="http://schemas.openxmlformats.org/officeDocument/2006/relationships/hyperlink" Target="https://macsmotorcitygarage.com/feed/" TargetMode="External"/><Relationship Id="rId854" Type="http://schemas.openxmlformats.org/officeDocument/2006/relationships/hyperlink" Target="http://psychsciencenotes.blogspot.com/feeds/posts/default" TargetMode="External"/><Relationship Id="rId611" Type="http://schemas.openxmlformats.org/officeDocument/2006/relationships/hyperlink" Target="https://newsapi.org/v2/everything?domains=" TargetMode="External"/><Relationship Id="rId853" Type="http://schemas.openxmlformats.org/officeDocument/2006/relationships/hyperlink" Target="https://newsapi.org/v2/everything?domains=" TargetMode="External"/><Relationship Id="rId610" Type="http://schemas.openxmlformats.org/officeDocument/2006/relationships/hyperlink" Target="https://www.macrovisor.com/" TargetMode="External"/><Relationship Id="rId852" Type="http://schemas.openxmlformats.org/officeDocument/2006/relationships/hyperlink" Target="https://psychedelicreview.com/articles/" TargetMode="External"/><Relationship Id="rId617" Type="http://schemas.openxmlformats.org/officeDocument/2006/relationships/hyperlink" Target="https://newsapi.org/v2/everything?domains=" TargetMode="External"/><Relationship Id="rId859" Type="http://schemas.openxmlformats.org/officeDocument/2006/relationships/hyperlink" Target="https://newsapi.org/v2/everything?domains=" TargetMode="External"/><Relationship Id="rId616" Type="http://schemas.openxmlformats.org/officeDocument/2006/relationships/hyperlink" Target="https://www.themarginalian.org/" TargetMode="External"/><Relationship Id="rId858" Type="http://schemas.openxmlformats.org/officeDocument/2006/relationships/hyperlink" Target="https://publicdomainreview.org/" TargetMode="External"/><Relationship Id="rId615" Type="http://schemas.openxmlformats.org/officeDocument/2006/relationships/hyperlink" Target="https://marginalcarbon.substack.com/feed" TargetMode="External"/><Relationship Id="rId857" Type="http://schemas.openxmlformats.org/officeDocument/2006/relationships/hyperlink" Target="https://publicdomainreview.org/rss.xml" TargetMode="External"/><Relationship Id="rId614" Type="http://schemas.openxmlformats.org/officeDocument/2006/relationships/hyperlink" Target="https://newsapi.org/v2/everything?domains=" TargetMode="External"/><Relationship Id="rId856" Type="http://schemas.openxmlformats.org/officeDocument/2006/relationships/hyperlink" Target="https://newsapi.org/v2/everything?domains=" TargetMode="External"/><Relationship Id="rId851" Type="http://schemas.openxmlformats.org/officeDocument/2006/relationships/hyperlink" Target="http://fetchrss.com/rss/63e4e4830f32204f7f522ad263efb849d17aae46cf1a72f2.xml" TargetMode="External"/><Relationship Id="rId850" Type="http://schemas.openxmlformats.org/officeDocument/2006/relationships/hyperlink" Target="https://newsapi.org/v2/everything?domains=" TargetMode="External"/><Relationship Id="rId1200" Type="http://schemas.openxmlformats.org/officeDocument/2006/relationships/hyperlink" Target="https://www.theshortcut.com/feed" TargetMode="External"/><Relationship Id="rId1201" Type="http://schemas.openxmlformats.org/officeDocument/2006/relationships/hyperlink" Target="https://tuganapollo.substack.com/" TargetMode="External"/><Relationship Id="rId409" Type="http://schemas.openxmlformats.org/officeDocument/2006/relationships/hyperlink" Target="https://www.exponentialview.co/feed" TargetMode="External"/><Relationship Id="rId404" Type="http://schemas.openxmlformats.org/officeDocument/2006/relationships/hyperlink" Target="https://newsapi.org/v2/everything?domains=" TargetMode="External"/><Relationship Id="rId646" Type="http://schemas.openxmlformats.org/officeDocument/2006/relationships/hyperlink" Target="http://fetchrss.com/rss/63e4e4830f32204f7f522ad263e7a36efcf3135cad179872.xml" TargetMode="External"/><Relationship Id="rId888" Type="http://schemas.openxmlformats.org/officeDocument/2006/relationships/hyperlink" Target="https://scitechdaily.com/" TargetMode="External"/><Relationship Id="rId403" Type="http://schemas.openxmlformats.org/officeDocument/2006/relationships/hyperlink" Target="https://everydayastronaut.com/" TargetMode="External"/><Relationship Id="rId645" Type="http://schemas.openxmlformats.org/officeDocument/2006/relationships/hyperlink" Target="http://fetchrss.com/rss/63e4e4830f32204f7f522ad263e7a330d04d1826e3131b33.xml" TargetMode="External"/><Relationship Id="rId887" Type="http://schemas.openxmlformats.org/officeDocument/2006/relationships/hyperlink" Target="https://sashachapin.substack.com/" TargetMode="External"/><Relationship Id="rId402" Type="http://schemas.openxmlformats.org/officeDocument/2006/relationships/hyperlink" Target="https://everydayastronaut.com/feed/" TargetMode="External"/><Relationship Id="rId644" Type="http://schemas.openxmlformats.org/officeDocument/2006/relationships/hyperlink" Target="http://fetchrss.com/rss/63e4e4830f32204f7f522ad263e7a35017d3c73c58093962.xml" TargetMode="External"/><Relationship Id="rId886" Type="http://schemas.openxmlformats.org/officeDocument/2006/relationships/hyperlink" Target="https://newsapi.org/v2/everything?domains=" TargetMode="External"/><Relationship Id="rId401" Type="http://schemas.openxmlformats.org/officeDocument/2006/relationships/hyperlink" Target="https://newsapi.org/v2/everything?domains=" TargetMode="External"/><Relationship Id="rId643" Type="http://schemas.openxmlformats.org/officeDocument/2006/relationships/hyperlink" Target="http://fetchrss.com/rss/63e4e4830f32204f7f522ad263e7a305153bcc476a4cd422.xml" TargetMode="External"/><Relationship Id="rId885" Type="http://schemas.openxmlformats.org/officeDocument/2006/relationships/hyperlink" Target="https://www.rollingstone.com/" TargetMode="External"/><Relationship Id="rId408" Type="http://schemas.openxmlformats.org/officeDocument/2006/relationships/hyperlink" Target="https://experimentalhistory.substack.com/p/youre-probably-wrong-about-how-things" TargetMode="External"/><Relationship Id="rId407" Type="http://schemas.openxmlformats.org/officeDocument/2006/relationships/hyperlink" Target="http://fetchrss.com/rss/63e4e4830f32204f7f522ad263e7a15add06890bec670b52.xml" TargetMode="External"/><Relationship Id="rId649" Type="http://schemas.openxmlformats.org/officeDocument/2006/relationships/hyperlink" Target="https://newsapi.org/v2/everything?domains=" TargetMode="External"/><Relationship Id="rId406" Type="http://schemas.openxmlformats.org/officeDocument/2006/relationships/hyperlink" Target="http://fetchrss.com/rss/63e4e4830f32204f7f522ad263e7a195cf716640b07e4502.xml" TargetMode="External"/><Relationship Id="rId648" Type="http://schemas.openxmlformats.org/officeDocument/2006/relationships/hyperlink" Target="https://www.technologyreview.com/" TargetMode="External"/><Relationship Id="rId405" Type="http://schemas.openxmlformats.org/officeDocument/2006/relationships/hyperlink" Target="https://evonomics.com/feed/" TargetMode="External"/><Relationship Id="rId647" Type="http://schemas.openxmlformats.org/officeDocument/2006/relationships/hyperlink" Target="http://fetchrss.com/rss/63e4e4830f32204f7f522ad263e7a2d5cf716640b07e4503.xml" TargetMode="External"/><Relationship Id="rId889" Type="http://schemas.openxmlformats.org/officeDocument/2006/relationships/hyperlink" Target="https://newsapi.org/v2/everything?domains=" TargetMode="External"/><Relationship Id="rId880" Type="http://schemas.openxmlformats.org/officeDocument/2006/relationships/hyperlink" Target="https://www.ribbonfarm.com/" TargetMode="External"/><Relationship Id="rId400" Type="http://schemas.openxmlformats.org/officeDocument/2006/relationships/hyperlink" Target="https://www.eurekalert.org/" TargetMode="External"/><Relationship Id="rId642" Type="http://schemas.openxmlformats.org/officeDocument/2006/relationships/hyperlink" Target="http://fetchrss.com/rss/63e4e4830f32204f7f522ad263e63dd0ea45d02cdc613c52.xml" TargetMode="External"/><Relationship Id="rId884" Type="http://schemas.openxmlformats.org/officeDocument/2006/relationships/hyperlink" Target="https://newsapi.org/v2/everything?domains=" TargetMode="External"/><Relationship Id="rId641" Type="http://schemas.openxmlformats.org/officeDocument/2006/relationships/hyperlink" Target="https://newsapi.org/v2/everything?domains=" TargetMode="External"/><Relationship Id="rId883" Type="http://schemas.openxmlformats.org/officeDocument/2006/relationships/hyperlink" Target="https://morrick.me/archives" TargetMode="External"/><Relationship Id="rId640" Type="http://schemas.openxmlformats.org/officeDocument/2006/relationships/hyperlink" Target="https://misfitsarchitecture.com/" TargetMode="External"/><Relationship Id="rId882" Type="http://schemas.openxmlformats.org/officeDocument/2006/relationships/hyperlink" Target="https://morrick.me/archives/tag/english/feed" TargetMode="External"/><Relationship Id="rId881" Type="http://schemas.openxmlformats.org/officeDocument/2006/relationships/hyperlink" Target="https://newsapi.org/v2/everything?domains=" TargetMode="External"/><Relationship Id="rId635" Type="http://schemas.openxmlformats.org/officeDocument/2006/relationships/hyperlink" Target="https://mickbetancourt.substack.com/" TargetMode="External"/><Relationship Id="rId877" Type="http://schemas.openxmlformats.org/officeDocument/2006/relationships/hyperlink" Target="https://newsapi.org/v2/everything?domains=" TargetMode="External"/><Relationship Id="rId634" Type="http://schemas.openxmlformats.org/officeDocument/2006/relationships/hyperlink" Target="https://michaelwgreen.substack.com/feed" TargetMode="External"/><Relationship Id="rId876" Type="http://schemas.openxmlformats.org/officeDocument/2006/relationships/hyperlink" Target="https://www.reverseshot.org/" TargetMode="External"/><Relationship Id="rId633" Type="http://schemas.openxmlformats.org/officeDocument/2006/relationships/hyperlink" Target="https://newsapi.org/v2/everything?domains=" TargetMode="External"/><Relationship Id="rId875" Type="http://schemas.openxmlformats.org/officeDocument/2006/relationships/hyperlink" Target="https://reverseshot.org/archive/entry/rss" TargetMode="External"/><Relationship Id="rId632" Type="http://schemas.openxmlformats.org/officeDocument/2006/relationships/hyperlink" Target="https://www.memorysafety.org/blog/" TargetMode="External"/><Relationship Id="rId874" Type="http://schemas.openxmlformats.org/officeDocument/2006/relationships/hyperlink" Target="https://newsapi.org/v2/everything?domains=" TargetMode="External"/><Relationship Id="rId639" Type="http://schemas.openxmlformats.org/officeDocument/2006/relationships/hyperlink" Target="https://misfitsarchitecture.com/feed/" TargetMode="External"/><Relationship Id="rId638" Type="http://schemas.openxmlformats.org/officeDocument/2006/relationships/hyperlink" Target="https://newsapi.org/v2/everything?domains=" TargetMode="External"/><Relationship Id="rId637" Type="http://schemas.openxmlformats.org/officeDocument/2006/relationships/hyperlink" Target="https://milkyeggs.com/" TargetMode="External"/><Relationship Id="rId879" Type="http://schemas.openxmlformats.org/officeDocument/2006/relationships/hyperlink" Target="https://www.ribbonfarm.com/feed/" TargetMode="External"/><Relationship Id="rId636" Type="http://schemas.openxmlformats.org/officeDocument/2006/relationships/hyperlink" Target="https://milkyeggs.com/feed/" TargetMode="External"/><Relationship Id="rId878" Type="http://schemas.openxmlformats.org/officeDocument/2006/relationships/hyperlink" Target="https://revman.substack.com/" TargetMode="External"/><Relationship Id="rId631" Type="http://schemas.openxmlformats.org/officeDocument/2006/relationships/hyperlink" Target="https://www.memorysafety.org/index.xml" TargetMode="External"/><Relationship Id="rId873" Type="http://schemas.openxmlformats.org/officeDocument/2006/relationships/hyperlink" Target="https://replicationindex.com/" TargetMode="External"/><Relationship Id="rId630" Type="http://schemas.openxmlformats.org/officeDocument/2006/relationships/hyperlink" Target="https://newsapi.org/v2/everything?domains=" TargetMode="External"/><Relationship Id="rId872" Type="http://schemas.openxmlformats.org/officeDocument/2006/relationships/hyperlink" Target="https://replicationindex.com/feed/" TargetMode="External"/><Relationship Id="rId871" Type="http://schemas.openxmlformats.org/officeDocument/2006/relationships/hyperlink" Target="https://newsapi.org/v2/everything?domains=" TargetMode="External"/><Relationship Id="rId870" Type="http://schemas.openxmlformats.org/officeDocument/2006/relationships/hyperlink" Target="https://readwrite.com/" TargetMode="External"/><Relationship Id="rId829" Type="http://schemas.openxmlformats.org/officeDocument/2006/relationships/hyperlink" Target="http://fetchrss.com/rss/63e4e4830f32204f7f522ad263ee28178a2be949ab01e263.xml" TargetMode="External"/><Relationship Id="rId828" Type="http://schemas.openxmlformats.org/officeDocument/2006/relationships/hyperlink" Target="https://newsapi.org/v2/everything?domains=" TargetMode="External"/><Relationship Id="rId827" Type="http://schemas.openxmlformats.org/officeDocument/2006/relationships/hyperlink" Target="https://www.popularmechanics.com/" TargetMode="External"/><Relationship Id="rId822" Type="http://schemas.openxmlformats.org/officeDocument/2006/relationships/hyperlink" Target="https://journals.plos.org/water/feed/atom" TargetMode="External"/><Relationship Id="rId821" Type="http://schemas.openxmlformats.org/officeDocument/2006/relationships/hyperlink" Target="https://journals.plos.org/sustainabilitytransformation/feed/atom" TargetMode="External"/><Relationship Id="rId820" Type="http://schemas.openxmlformats.org/officeDocument/2006/relationships/hyperlink" Target="https://journals.plos.org/plospathogens/feed/atom" TargetMode="External"/><Relationship Id="rId826" Type="http://schemas.openxmlformats.org/officeDocument/2006/relationships/hyperlink" Target="https://poetryunbound.substack.com/feed" TargetMode="External"/><Relationship Id="rId825" Type="http://schemas.openxmlformats.org/officeDocument/2006/relationships/hyperlink" Target="https://newsapi.org/v2/everything?domains=" TargetMode="External"/><Relationship Id="rId824" Type="http://schemas.openxmlformats.org/officeDocument/2006/relationships/hyperlink" Target="https://www.pnas.org/" TargetMode="External"/><Relationship Id="rId823" Type="http://schemas.openxmlformats.org/officeDocument/2006/relationships/hyperlink" Target="https://www.pnas.org/action/showFeed?type=etoc&amp;feed=rss&amp;jc=PNAS" TargetMode="External"/><Relationship Id="rId819" Type="http://schemas.openxmlformats.org/officeDocument/2006/relationships/hyperlink" Target="https://journals.plos.org/plosone/feed/atom" TargetMode="External"/><Relationship Id="rId818" Type="http://schemas.openxmlformats.org/officeDocument/2006/relationships/hyperlink" Target="https://journals.plos.org/plosmedicine/feed/atom" TargetMode="External"/><Relationship Id="rId817" Type="http://schemas.openxmlformats.org/officeDocument/2006/relationships/hyperlink" Target="https://journals.plos.org/globalpublichealth/feed/atom" TargetMode="External"/><Relationship Id="rId816" Type="http://schemas.openxmlformats.org/officeDocument/2006/relationships/hyperlink" Target="https://journals.plos.org/plosgenetics/feed/atom" TargetMode="External"/><Relationship Id="rId811" Type="http://schemas.openxmlformats.org/officeDocument/2006/relationships/hyperlink" Target="https://journals.plos.org/plosbiology/feed/atom" TargetMode="External"/><Relationship Id="rId810" Type="http://schemas.openxmlformats.org/officeDocument/2006/relationships/hyperlink" Target="https://newsapi.org/v2/everything?domains=" TargetMode="External"/><Relationship Id="rId815" Type="http://schemas.openxmlformats.org/officeDocument/2006/relationships/hyperlink" Target="https://journals.plos.org/plosntds/feed/atom" TargetMode="External"/><Relationship Id="rId814" Type="http://schemas.openxmlformats.org/officeDocument/2006/relationships/hyperlink" Target="https://journals.plos.org/digitalhealth/feed/atom" TargetMode="External"/><Relationship Id="rId813" Type="http://schemas.openxmlformats.org/officeDocument/2006/relationships/hyperlink" Target="https://journals.plos.org/ploscompbiol/feed/atom" TargetMode="External"/><Relationship Id="rId812" Type="http://schemas.openxmlformats.org/officeDocument/2006/relationships/hyperlink" Target="https://journals.plos.org/climate/feed/atom" TargetMode="External"/><Relationship Id="rId609" Type="http://schemas.openxmlformats.org/officeDocument/2006/relationships/hyperlink" Target="https://www.macrovisor.com/feed" TargetMode="External"/><Relationship Id="rId608" Type="http://schemas.openxmlformats.org/officeDocument/2006/relationships/hyperlink" Target="https://newsapi.org/v2/everything?domains=" TargetMode="External"/><Relationship Id="rId607" Type="http://schemas.openxmlformats.org/officeDocument/2006/relationships/hyperlink" Target="https://lukeplant.me.uk/blog/" TargetMode="External"/><Relationship Id="rId849" Type="http://schemas.openxmlformats.org/officeDocument/2006/relationships/hyperlink" Target="https://psyche.co/" TargetMode="External"/><Relationship Id="rId602" Type="http://schemas.openxmlformats.org/officeDocument/2006/relationships/hyperlink" Target="https://www.davidairey.com/" TargetMode="External"/><Relationship Id="rId844" Type="http://schemas.openxmlformats.org/officeDocument/2006/relationships/hyperlink" Target="https://primevalpatterns.substack.com/" TargetMode="External"/><Relationship Id="rId601" Type="http://schemas.openxmlformats.org/officeDocument/2006/relationships/hyperlink" Target="https://www.logodesignlove.com/feed" TargetMode="External"/><Relationship Id="rId843" Type="http://schemas.openxmlformats.org/officeDocument/2006/relationships/hyperlink" Target="https://newsapi.org/v2/everything?domains=" TargetMode="External"/><Relationship Id="rId600" Type="http://schemas.openxmlformats.org/officeDocument/2006/relationships/hyperlink" Target="http://lwlies.com/feed" TargetMode="External"/><Relationship Id="rId842" Type="http://schemas.openxmlformats.org/officeDocument/2006/relationships/hyperlink" Target="https://www.prweb.com/" TargetMode="External"/><Relationship Id="rId841" Type="http://schemas.openxmlformats.org/officeDocument/2006/relationships/hyperlink" Target="https://newsapi.org/v2/everything?domains=" TargetMode="External"/><Relationship Id="rId606" Type="http://schemas.openxmlformats.org/officeDocument/2006/relationships/hyperlink" Target="https://lukeplant.me.uk/blog/atom/index.xml" TargetMode="External"/><Relationship Id="rId848" Type="http://schemas.openxmlformats.org/officeDocument/2006/relationships/hyperlink" Target="https://newsapi.org/v2/everything?domains=" TargetMode="External"/><Relationship Id="rId605" Type="http://schemas.openxmlformats.org/officeDocument/2006/relationships/hyperlink" Target="https://newsapi.org/v2/everything?domains=" TargetMode="External"/><Relationship Id="rId847" Type="http://schemas.openxmlformats.org/officeDocument/2006/relationships/hyperlink" Target="https://www.propublica.org/" TargetMode="External"/><Relationship Id="rId604" Type="http://schemas.openxmlformats.org/officeDocument/2006/relationships/hyperlink" Target="https://longreads.com/" TargetMode="External"/><Relationship Id="rId846" Type="http://schemas.openxmlformats.org/officeDocument/2006/relationships/hyperlink" Target="https://newsapi.org/v2/everything?domains=" TargetMode="External"/><Relationship Id="rId603" Type="http://schemas.openxmlformats.org/officeDocument/2006/relationships/hyperlink" Target="https://newsapi.org/v2/everything?domains=" TargetMode="External"/><Relationship Id="rId845" Type="http://schemas.openxmlformats.org/officeDocument/2006/relationships/hyperlink" Target="https://www.printmag.com/" TargetMode="External"/><Relationship Id="rId840" Type="http://schemas.openxmlformats.org/officeDocument/2006/relationships/hyperlink" Target="https://www.prnewswire.com/" TargetMode="External"/><Relationship Id="rId839" Type="http://schemas.openxmlformats.org/officeDocument/2006/relationships/hyperlink" Target="http://fetchrss.com/rss/63e4e4830f32204f7f522ad263ee27911465ba2c9b659f32.xml" TargetMode="External"/><Relationship Id="rId838" Type="http://schemas.openxmlformats.org/officeDocument/2006/relationships/hyperlink" Target="https://newsapi.org/v2/everything?domains=" TargetMode="External"/><Relationship Id="rId833" Type="http://schemas.openxmlformats.org/officeDocument/2006/relationships/hyperlink" Target="http://fetchrss.com/rss/63e4e4830f32204f7f522ad263ee28e804558e095d791802.xml" TargetMode="External"/><Relationship Id="rId832" Type="http://schemas.openxmlformats.org/officeDocument/2006/relationships/hyperlink" Target="http://fetchrss.com/rss/63e4e4830f32204f7f522ad263ee29010c943a1496322443.xml" TargetMode="External"/><Relationship Id="rId831" Type="http://schemas.openxmlformats.org/officeDocument/2006/relationships/hyperlink" Target="http://fetchrss.com/rss/63e4e4830f32204f7f522ad263ee28c7b1e407752e0c0e22.xml" TargetMode="External"/><Relationship Id="rId830" Type="http://schemas.openxmlformats.org/officeDocument/2006/relationships/hyperlink" Target="http://fetchrss.com/rss/63e4e4830f32204f7f522ad263ee287728ff057c5721e683.xml" TargetMode="External"/><Relationship Id="rId837" Type="http://schemas.openxmlformats.org/officeDocument/2006/relationships/hyperlink" Target="https://www.popsci.com/" TargetMode="External"/><Relationship Id="rId836" Type="http://schemas.openxmlformats.org/officeDocument/2006/relationships/hyperlink" Target="http://fetchrss.com/rss/63e4e4830f32204f7f522ad263ee27911465ba2c9b659f32.xml" TargetMode="External"/><Relationship Id="rId835" Type="http://schemas.openxmlformats.org/officeDocument/2006/relationships/hyperlink" Target="http://fetchrss.com/rss/63e4e4830f32204f7f522ad263ee27cf04fafb7d787a5c22.xml" TargetMode="External"/><Relationship Id="rId834" Type="http://schemas.openxmlformats.org/officeDocument/2006/relationships/hyperlink" Target="http://fetchrss.com/rss/63e4e4830f32204f7f522ad263ee284a1634d442c3640e12.xml" TargetMode="External"/><Relationship Id="rId1059" Type="http://schemas.openxmlformats.org/officeDocument/2006/relationships/hyperlink" Target="https://newsapi.org/v2/everything?domains=" TargetMode="External"/><Relationship Id="rId228" Type="http://schemas.openxmlformats.org/officeDocument/2006/relationships/hyperlink" Target="https://newsapi.org/v2/everything?domains=" TargetMode="External"/><Relationship Id="rId227" Type="http://schemas.openxmlformats.org/officeDocument/2006/relationships/hyperlink" Target="https://www.cfr.org/" TargetMode="External"/><Relationship Id="rId469" Type="http://schemas.openxmlformats.org/officeDocument/2006/relationships/hyperlink" Target="https://www.gallup.com/home.aspx" TargetMode="External"/><Relationship Id="rId226" Type="http://schemas.openxmlformats.org/officeDocument/2006/relationships/hyperlink" Target="https://newsapi.org/v2/everything?domains=" TargetMode="External"/><Relationship Id="rId468" Type="http://schemas.openxmlformats.org/officeDocument/2006/relationships/hyperlink" Target="https://www.frontiersin.org/journals/virtual-reality/rss" TargetMode="External"/><Relationship Id="rId225" Type="http://schemas.openxmlformats.org/officeDocument/2006/relationships/hyperlink" Target="https://www.cell.com/cell/home" TargetMode="External"/><Relationship Id="rId467" Type="http://schemas.openxmlformats.org/officeDocument/2006/relationships/hyperlink" Target="https://www.frontiersin.org/journals/space-technologies/rss" TargetMode="External"/><Relationship Id="rId229" Type="http://schemas.openxmlformats.org/officeDocument/2006/relationships/hyperlink" Target="https://www.chathamhouse.org/path/whatsnew.xml" TargetMode="External"/><Relationship Id="rId1050" Type="http://schemas.openxmlformats.org/officeDocument/2006/relationships/hyperlink" Target="http://feeds.feedburner.com/thespacesmag" TargetMode="External"/><Relationship Id="rId220" Type="http://schemas.openxmlformats.org/officeDocument/2006/relationships/hyperlink" Target="https://www.cdc.gov/" TargetMode="External"/><Relationship Id="rId462" Type="http://schemas.openxmlformats.org/officeDocument/2006/relationships/hyperlink" Target="https://www.frontiersin.org/journals/future-transportation/rss" TargetMode="External"/><Relationship Id="rId1051" Type="http://schemas.openxmlformats.org/officeDocument/2006/relationships/hyperlink" Target="https://swissramble.substack.com/feed" TargetMode="External"/><Relationship Id="rId461" Type="http://schemas.openxmlformats.org/officeDocument/2006/relationships/hyperlink" Target="https://www.frontiersin.org/journals/environmental-science/rss" TargetMode="External"/><Relationship Id="rId1052" Type="http://schemas.openxmlformats.org/officeDocument/2006/relationships/hyperlink" Target="https://newsletter.uxdesign.cc/feed" TargetMode="External"/><Relationship Id="rId460" Type="http://schemas.openxmlformats.org/officeDocument/2006/relationships/hyperlink" Target="https://www.frontiersin.org/journals/digital-health/rss" TargetMode="External"/><Relationship Id="rId1053" Type="http://schemas.openxmlformats.org/officeDocument/2006/relationships/hyperlink" Target="https://www.theverge.com/" TargetMode="External"/><Relationship Id="rId1054" Type="http://schemas.openxmlformats.org/officeDocument/2006/relationships/hyperlink" Target="https://newsapi.org/v2/everything?domains=" TargetMode="External"/><Relationship Id="rId224" Type="http://schemas.openxmlformats.org/officeDocument/2006/relationships/hyperlink" Target="https://newsapi.org/v2/everything?domains=" TargetMode="External"/><Relationship Id="rId466" Type="http://schemas.openxmlformats.org/officeDocument/2006/relationships/hyperlink" Target="https://www.frontiersin.org/journals/astronomy-and-space-sciences/rss" TargetMode="External"/><Relationship Id="rId1055" Type="http://schemas.openxmlformats.org/officeDocument/2006/relationships/hyperlink" Target="http://fetchrss.com/rss/63e4e4830f32204f7f522ad263e92533a5a4eb11c81b6562.xml" TargetMode="External"/><Relationship Id="rId223" Type="http://schemas.openxmlformats.org/officeDocument/2006/relationships/hyperlink" Target="https://cdixon.org/" TargetMode="External"/><Relationship Id="rId465" Type="http://schemas.openxmlformats.org/officeDocument/2006/relationships/hyperlink" Target="https://www.frontiersin.org/journals/robotics-and-ai/rss" TargetMode="External"/><Relationship Id="rId1056" Type="http://schemas.openxmlformats.org/officeDocument/2006/relationships/hyperlink" Target="https://www.thedrive.com/the-war-zone" TargetMode="External"/><Relationship Id="rId222" Type="http://schemas.openxmlformats.org/officeDocument/2006/relationships/hyperlink" Target="http://fetchrss.com/rss/63e4e4830f32204f7f522ad263ee236a8a2be949ab01e262.xml" TargetMode="External"/><Relationship Id="rId464" Type="http://schemas.openxmlformats.org/officeDocument/2006/relationships/hyperlink" Target="https://www.frontiersin.org/journals/psychology/rss" TargetMode="External"/><Relationship Id="rId1057" Type="http://schemas.openxmlformats.org/officeDocument/2006/relationships/hyperlink" Target="https://there.oughta.be/feed.xml" TargetMode="External"/><Relationship Id="rId221" Type="http://schemas.openxmlformats.org/officeDocument/2006/relationships/hyperlink" Target="https://newsapi.org/v2/everything?domains=" TargetMode="External"/><Relationship Id="rId463" Type="http://schemas.openxmlformats.org/officeDocument/2006/relationships/hyperlink" Target="https://www.frontiersin.org/journals/psychiatry/rss" TargetMode="External"/><Relationship Id="rId1058" Type="http://schemas.openxmlformats.org/officeDocument/2006/relationships/hyperlink" Target="https://there.oughta.be/" TargetMode="External"/><Relationship Id="rId1048" Type="http://schemas.openxmlformats.org/officeDocument/2006/relationships/hyperlink" Target="https://thesequence.substack.com/" TargetMode="External"/><Relationship Id="rId1049" Type="http://schemas.openxmlformats.org/officeDocument/2006/relationships/hyperlink" Target="https://smittenkitchen.substack.com/" TargetMode="External"/><Relationship Id="rId217" Type="http://schemas.openxmlformats.org/officeDocument/2006/relationships/hyperlink" Target="https://www.cato.org/" TargetMode="External"/><Relationship Id="rId459" Type="http://schemas.openxmlformats.org/officeDocument/2006/relationships/hyperlink" Target="https://www.frontiersin.org/journals/conservation-science/rss" TargetMode="External"/><Relationship Id="rId216" Type="http://schemas.openxmlformats.org/officeDocument/2006/relationships/hyperlink" Target="https://www.cato.org/ecommunity/rss" TargetMode="External"/><Relationship Id="rId458" Type="http://schemas.openxmlformats.org/officeDocument/2006/relationships/hyperlink" Target="https://www.frontiersin.org/journals/climate/rss" TargetMode="External"/><Relationship Id="rId215" Type="http://schemas.openxmlformats.org/officeDocument/2006/relationships/hyperlink" Target="https://feeds.arstechnica.com/arstechnica/cars" TargetMode="External"/><Relationship Id="rId457" Type="http://schemas.openxmlformats.org/officeDocument/2006/relationships/hyperlink" Target="https://www.frontiersin.org/journals/computer-science/rss" TargetMode="External"/><Relationship Id="rId699" Type="http://schemas.openxmlformats.org/officeDocument/2006/relationships/hyperlink" Target="https://newsapi.org/v2/everything?domains=" TargetMode="External"/><Relationship Id="rId214" Type="http://schemas.openxmlformats.org/officeDocument/2006/relationships/hyperlink" Target="https://newsapi.org/v2/everything?domains=" TargetMode="External"/><Relationship Id="rId456" Type="http://schemas.openxmlformats.org/officeDocument/2006/relationships/hyperlink" Target="https://www.frontiersin.org/journals/big-data/rss" TargetMode="External"/><Relationship Id="rId698" Type="http://schemas.openxmlformats.org/officeDocument/2006/relationships/hyperlink" Target="https://www.neh.gov/humanities" TargetMode="External"/><Relationship Id="rId219" Type="http://schemas.openxmlformats.org/officeDocument/2006/relationships/hyperlink" Target="https://www.cato.org/rss/blog" TargetMode="External"/><Relationship Id="rId218" Type="http://schemas.openxmlformats.org/officeDocument/2006/relationships/hyperlink" Target="https://newsapi.org/v2/everything?domains=" TargetMode="External"/><Relationship Id="rId451" Type="http://schemas.openxmlformats.org/officeDocument/2006/relationships/hyperlink" Target="http://fetchrss.com/rss/63e4e4830f32204f7f522ad263ea01092d1f09194861c452.xml" TargetMode="External"/><Relationship Id="rId693" Type="http://schemas.openxmlformats.org/officeDocument/2006/relationships/hyperlink" Target="http://fetchrss.com/rss/63e4e4830f32204f7f522ad263e4fb735ed94c1f1d784892.xml" TargetMode="External"/><Relationship Id="rId1040" Type="http://schemas.openxmlformats.org/officeDocument/2006/relationships/hyperlink" Target="https://newsapi.org/v2/everything?domains=" TargetMode="External"/><Relationship Id="rId450" Type="http://schemas.openxmlformats.org/officeDocument/2006/relationships/hyperlink" Target="http://fetchrss.com/rss/63e4e4830f32204f7f522ad263e93c01790db9258a0e5662.xml" TargetMode="External"/><Relationship Id="rId692" Type="http://schemas.openxmlformats.org/officeDocument/2006/relationships/hyperlink" Target="http://fetchrss.com/rss/63e4e4830f32204f7f522ad263e4fb3187d47614727cec62.xml" TargetMode="External"/><Relationship Id="rId1041" Type="http://schemas.openxmlformats.org/officeDocument/2006/relationships/hyperlink" Target="https://www.theregister.com/" TargetMode="External"/><Relationship Id="rId691" Type="http://schemas.openxmlformats.org/officeDocument/2006/relationships/hyperlink" Target="http://fetchrss.com/rss/63e4e4830f32204f7f522ad263e4fad6c6b34c009b7770f2.xml" TargetMode="External"/><Relationship Id="rId1042" Type="http://schemas.openxmlformats.org/officeDocument/2006/relationships/hyperlink" Target="https://newsapi.org/v2/everything?domains=" TargetMode="External"/><Relationship Id="rId690" Type="http://schemas.openxmlformats.org/officeDocument/2006/relationships/hyperlink" Target="http://fetchrss.com/rss/63e4e4830f32204f7f522ad263e4faac15251367d973c1c2.xml" TargetMode="External"/><Relationship Id="rId1043" Type="http://schemas.openxmlformats.org/officeDocument/2006/relationships/hyperlink" Target="http://fetchrss.com/rss/63e4e4830f32204f7f522ad2640a4c63c68a8d14b41108d2.xml" TargetMode="External"/><Relationship Id="rId213" Type="http://schemas.openxmlformats.org/officeDocument/2006/relationships/hyperlink" Target="https://carnegieendowment.org/" TargetMode="External"/><Relationship Id="rId455" Type="http://schemas.openxmlformats.org/officeDocument/2006/relationships/hyperlink" Target="https://www.frontiersin.org/journals/artificial-intelligence/rss" TargetMode="External"/><Relationship Id="rId697" Type="http://schemas.openxmlformats.org/officeDocument/2006/relationships/hyperlink" Target="http://fetchrss.com/rss/63e4e4830f32204f7f522ad263efc4646a81fe17603d19c2.xml" TargetMode="External"/><Relationship Id="rId1044" Type="http://schemas.openxmlformats.org/officeDocument/2006/relationships/hyperlink" Target="http://fetchrss.com/rss/63e4e4830f32204f7f522ad2640a4c9a0bbc804add468402.xml" TargetMode="External"/><Relationship Id="rId212" Type="http://schemas.openxmlformats.org/officeDocument/2006/relationships/hyperlink" Target="http://fetchrss.com/rss/63e4e4830f32204f7f522ad263e78ac7b41ee15aef659692.xml" TargetMode="External"/><Relationship Id="rId454" Type="http://schemas.openxmlformats.org/officeDocument/2006/relationships/hyperlink" Target="https://newsapi.org/v2/everything?domains=" TargetMode="External"/><Relationship Id="rId696" Type="http://schemas.openxmlformats.org/officeDocument/2006/relationships/hyperlink" Target="https://newsapi.org/v2/everything?domains=" TargetMode="External"/><Relationship Id="rId1045" Type="http://schemas.openxmlformats.org/officeDocument/2006/relationships/hyperlink" Target="http://fetchrss.com/rss/63e4e4830f32204f7f522ad263ee2b751422214ea5682f72.xml" TargetMode="External"/><Relationship Id="rId211" Type="http://schemas.openxmlformats.org/officeDocument/2006/relationships/hyperlink" Target="http://fetchrss.com/rss/63e4e4830f32204f7f522ad263e78b3f058efd5f9e029ac2.xml" TargetMode="External"/><Relationship Id="rId453" Type="http://schemas.openxmlformats.org/officeDocument/2006/relationships/hyperlink" Target="https://www.frieze.com/" TargetMode="External"/><Relationship Id="rId695" Type="http://schemas.openxmlformats.org/officeDocument/2006/relationships/hyperlink" Target="https://www.nber.org/" TargetMode="External"/><Relationship Id="rId1046" Type="http://schemas.openxmlformats.org/officeDocument/2006/relationships/hyperlink" Target="https://www.the-scientist.com/" TargetMode="External"/><Relationship Id="rId210" Type="http://schemas.openxmlformats.org/officeDocument/2006/relationships/hyperlink" Target="http://fetchrss.com/rss/63e4e4830f32204f7f522ad263e78aab42872f2f27012922.xml" TargetMode="External"/><Relationship Id="rId452" Type="http://schemas.openxmlformats.org/officeDocument/2006/relationships/hyperlink" Target="http://fetchrss.com/rss/63e4e4830f32204f7f522ad263ee2fcb3fde064c745e0132.xml" TargetMode="External"/><Relationship Id="rId694" Type="http://schemas.openxmlformats.org/officeDocument/2006/relationships/hyperlink" Target="http://www.nber.org/rss/new.xml" TargetMode="External"/><Relationship Id="rId1047" Type="http://schemas.openxmlformats.org/officeDocument/2006/relationships/hyperlink" Target="https://newsapi.org/v2/everything?domains=" TargetMode="External"/><Relationship Id="rId491" Type="http://schemas.openxmlformats.org/officeDocument/2006/relationships/hyperlink" Target="https://guytal.blog/feed/" TargetMode="External"/><Relationship Id="rId490" Type="http://schemas.openxmlformats.org/officeDocument/2006/relationships/hyperlink" Target="https://nathanbenaich.substack.com/feed" TargetMode="External"/><Relationship Id="rId249" Type="http://schemas.openxmlformats.org/officeDocument/2006/relationships/hyperlink" Target="https://www.collectorsweekly.com/" TargetMode="External"/><Relationship Id="rId248" Type="http://schemas.openxmlformats.org/officeDocument/2006/relationships/hyperlink" Target="http://fetchrss.com/rss/63e4e4830f32204f7f522ad263ee388158087461c236dfc2.xml" TargetMode="External"/><Relationship Id="rId247" Type="http://schemas.openxmlformats.org/officeDocument/2006/relationships/hyperlink" Target="http://fetchrss.com/rss/63e4e4830f32204f7f522ad263ee38dea14e800a0d166e02.xml" TargetMode="External"/><Relationship Id="rId489" Type="http://schemas.openxmlformats.org/officeDocument/2006/relationships/hyperlink" Target="https://gritcapital.substack.com/" TargetMode="External"/><Relationship Id="rId1070" Type="http://schemas.openxmlformats.org/officeDocument/2006/relationships/hyperlink" Target="https://www.un.org/en/" TargetMode="External"/><Relationship Id="rId1071" Type="http://schemas.openxmlformats.org/officeDocument/2006/relationships/hyperlink" Target="https://newsapi.org/v2/everything?domains=" TargetMode="External"/><Relationship Id="rId1072" Type="http://schemas.openxmlformats.org/officeDocument/2006/relationships/hyperlink" Target="https://www.unicefusa.org/rss" TargetMode="External"/><Relationship Id="rId242" Type="http://schemas.openxmlformats.org/officeDocument/2006/relationships/hyperlink" Target="https://newsapi.org/v2/everything?domains=" TargetMode="External"/><Relationship Id="rId484" Type="http://schemas.openxmlformats.org/officeDocument/2006/relationships/hyperlink" Target="https://www.globenewswire.com/" TargetMode="External"/><Relationship Id="rId1073" Type="http://schemas.openxmlformats.org/officeDocument/2006/relationships/hyperlink" Target="https://www.unicef.org/" TargetMode="External"/><Relationship Id="rId241" Type="http://schemas.openxmlformats.org/officeDocument/2006/relationships/hyperlink" Target="https://blog.codinghorror.com/" TargetMode="External"/><Relationship Id="rId483" Type="http://schemas.openxmlformats.org/officeDocument/2006/relationships/hyperlink" Target="https://newsapi.org/v2/everything?domains=" TargetMode="External"/><Relationship Id="rId1074" Type="http://schemas.openxmlformats.org/officeDocument/2006/relationships/hyperlink" Target="https://newsapi.org/v2/everything?domains=" TargetMode="External"/><Relationship Id="rId240" Type="http://schemas.openxmlformats.org/officeDocument/2006/relationships/hyperlink" Target="https://blog.codinghorror.com/rss/" TargetMode="External"/><Relationship Id="rId482" Type="http://schemas.openxmlformats.org/officeDocument/2006/relationships/hyperlink" Target="https://gizmodo.com/" TargetMode="External"/><Relationship Id="rId1075" Type="http://schemas.openxmlformats.org/officeDocument/2006/relationships/hyperlink" Target="http://fetchrss.com/rss/63e4e4830f32204f7f522ad263eeb5238e9b7f30f7084892.xml" TargetMode="External"/><Relationship Id="rId481" Type="http://schemas.openxmlformats.org/officeDocument/2006/relationships/hyperlink" Target="https://newsapi.org/v2/everything?domains=" TargetMode="External"/><Relationship Id="rId1076" Type="http://schemas.openxmlformats.org/officeDocument/2006/relationships/hyperlink" Target="https://blog.seas.upenn.edu/" TargetMode="External"/><Relationship Id="rId246" Type="http://schemas.openxmlformats.org/officeDocument/2006/relationships/hyperlink" Target="http://fetchrss.com/rss/63e4e4830f32204f7f522ad263ee39316430195bb33832a3.xml" TargetMode="External"/><Relationship Id="rId488" Type="http://schemas.openxmlformats.org/officeDocument/2006/relationships/hyperlink" Target="https://newsapi.org/v2/everything?domains=" TargetMode="External"/><Relationship Id="rId1077" Type="http://schemas.openxmlformats.org/officeDocument/2006/relationships/hyperlink" Target="https://newsapi.org/v2/everything?domains=" TargetMode="External"/><Relationship Id="rId245" Type="http://schemas.openxmlformats.org/officeDocument/2006/relationships/hyperlink" Target="http://feeds.feedburner.com/collabfund" TargetMode="External"/><Relationship Id="rId487" Type="http://schemas.openxmlformats.org/officeDocument/2006/relationships/hyperlink" Target="https://greatergood.berkeley.edu/" TargetMode="External"/><Relationship Id="rId1078" Type="http://schemas.openxmlformats.org/officeDocument/2006/relationships/hyperlink" Target="https://urbankaoboy.substack.com/feed" TargetMode="External"/><Relationship Id="rId244" Type="http://schemas.openxmlformats.org/officeDocument/2006/relationships/hyperlink" Target="https://newsapi.org/v2/everything?domains=" TargetMode="External"/><Relationship Id="rId486" Type="http://schemas.openxmlformats.org/officeDocument/2006/relationships/hyperlink" Target="https://greatergood.berkeley.edu/site/rss/articles" TargetMode="External"/><Relationship Id="rId1079" Type="http://schemas.openxmlformats.org/officeDocument/2006/relationships/hyperlink" Target="https://www.viget.com/articles/" TargetMode="External"/><Relationship Id="rId243" Type="http://schemas.openxmlformats.org/officeDocument/2006/relationships/hyperlink" Target="https://cointelegraph.com/" TargetMode="External"/><Relationship Id="rId485" Type="http://schemas.openxmlformats.org/officeDocument/2006/relationships/hyperlink" Target="https://newsapi.org/v2/everything?domains=" TargetMode="External"/><Relationship Id="rId480" Type="http://schemas.openxmlformats.org/officeDocument/2006/relationships/hyperlink" Target="https://blog.gingerbeardman.com/" TargetMode="External"/><Relationship Id="rId239" Type="http://schemas.openxmlformats.org/officeDocument/2006/relationships/hyperlink" Target="https://newsapi.org/v2/everything?domains=" TargetMode="External"/><Relationship Id="rId238" Type="http://schemas.openxmlformats.org/officeDocument/2006/relationships/hyperlink" Target="https://www.codastory.com/" TargetMode="External"/><Relationship Id="rId237" Type="http://schemas.openxmlformats.org/officeDocument/2006/relationships/hyperlink" Target="http://fetchrss.com/rss/63e4e4830f32204f7f522ad263ee1875066c202a2a780c82.xml" TargetMode="External"/><Relationship Id="rId479" Type="http://schemas.openxmlformats.org/officeDocument/2006/relationships/hyperlink" Target="http://fetchrss.com/rss/63e4e4830f32204f7f522ad263efb359ce3fa671e03ee352.xml" TargetMode="External"/><Relationship Id="rId236" Type="http://schemas.openxmlformats.org/officeDocument/2006/relationships/hyperlink" Target="https://newsapi.org/v2/everything?domains=" TargetMode="External"/><Relationship Id="rId478" Type="http://schemas.openxmlformats.org/officeDocument/2006/relationships/hyperlink" Target="https://www.gessato.com/feed/" TargetMode="External"/><Relationship Id="rId1060" Type="http://schemas.openxmlformats.org/officeDocument/2006/relationships/hyperlink" Target="https://historytruth.substack.com/feed" TargetMode="External"/><Relationship Id="rId1061" Type="http://schemas.openxmlformats.org/officeDocument/2006/relationships/hyperlink" Target="https://www.thisiscolossal.com/" TargetMode="External"/><Relationship Id="rId231" Type="http://schemas.openxmlformats.org/officeDocument/2006/relationships/hyperlink" Target="https://newsapi.org/v2/everything?domains=" TargetMode="External"/><Relationship Id="rId473" Type="http://schemas.openxmlformats.org/officeDocument/2006/relationships/hyperlink" Target="https://www.gameinformer.com/" TargetMode="External"/><Relationship Id="rId1062" Type="http://schemas.openxmlformats.org/officeDocument/2006/relationships/hyperlink" Target="https://newsapi.org/v2/everything?domains=" TargetMode="External"/><Relationship Id="rId230" Type="http://schemas.openxmlformats.org/officeDocument/2006/relationships/hyperlink" Target="https://www.chathamhouse.org/" TargetMode="External"/><Relationship Id="rId472" Type="http://schemas.openxmlformats.org/officeDocument/2006/relationships/hyperlink" Target="https://newsapi.org/v2/everything?domains=" TargetMode="External"/><Relationship Id="rId1063" Type="http://schemas.openxmlformats.org/officeDocument/2006/relationships/hyperlink" Target="https://timetravelkitchen.substack.com/feed" TargetMode="External"/><Relationship Id="rId471" Type="http://schemas.openxmlformats.org/officeDocument/2006/relationships/hyperlink" Target="https://www.gamedeveloper.com/blogs" TargetMode="External"/><Relationship Id="rId1064" Type="http://schemas.openxmlformats.org/officeDocument/2006/relationships/hyperlink" Target="http://tonsky.me/blog/atom.xml" TargetMode="External"/><Relationship Id="rId470" Type="http://schemas.openxmlformats.org/officeDocument/2006/relationships/hyperlink" Target="https://newsapi.org/v2/everything?domains=" TargetMode="External"/><Relationship Id="rId1065" Type="http://schemas.openxmlformats.org/officeDocument/2006/relationships/hyperlink" Target="https://tonsky.me/" TargetMode="External"/><Relationship Id="rId235" Type="http://schemas.openxmlformats.org/officeDocument/2006/relationships/hyperlink" Target="https://www.cnet.com/tech/services-and-software/iphone-in-permanent-low-power-mode-how-to-do-it-and-what-you-lose/" TargetMode="External"/><Relationship Id="rId477" Type="http://schemas.openxmlformats.org/officeDocument/2006/relationships/hyperlink" Target="https://newsapi.org/v2/everything?domains=" TargetMode="External"/><Relationship Id="rId1066" Type="http://schemas.openxmlformats.org/officeDocument/2006/relationships/hyperlink" Target="https://newsapi.org/v2/everything?domains=" TargetMode="External"/><Relationship Id="rId234" Type="http://schemas.openxmlformats.org/officeDocument/2006/relationships/hyperlink" Target="https://newsapi.org/v2/everything?domains=" TargetMode="External"/><Relationship Id="rId476" Type="http://schemas.openxmlformats.org/officeDocument/2006/relationships/hyperlink" Target="https://www.genengnews.com/" TargetMode="External"/><Relationship Id="rId1067" Type="http://schemas.openxmlformats.org/officeDocument/2006/relationships/hyperlink" Target="https://www.ucreative.com/feed/" TargetMode="External"/><Relationship Id="rId233" Type="http://schemas.openxmlformats.org/officeDocument/2006/relationships/hyperlink" Target="https://cineccentric.com/" TargetMode="External"/><Relationship Id="rId475" Type="http://schemas.openxmlformats.org/officeDocument/2006/relationships/hyperlink" Target="http://feeds.feedburner.com/GenGeneticEngineeringAndBiotechnologyNews" TargetMode="External"/><Relationship Id="rId1068" Type="http://schemas.openxmlformats.org/officeDocument/2006/relationships/hyperlink" Target="https://www.ucreative.com/design/" TargetMode="External"/><Relationship Id="rId232" Type="http://schemas.openxmlformats.org/officeDocument/2006/relationships/hyperlink" Target="https://cineccentric.com/feed/" TargetMode="External"/><Relationship Id="rId474" Type="http://schemas.openxmlformats.org/officeDocument/2006/relationships/hyperlink" Target="https://newsapi.org/v2/everything?domains=" TargetMode="External"/><Relationship Id="rId1069" Type="http://schemas.openxmlformats.org/officeDocument/2006/relationships/hyperlink" Target="https://newsapi.org/v2/everything?domains=" TargetMode="External"/><Relationship Id="rId1015" Type="http://schemas.openxmlformats.org/officeDocument/2006/relationships/hyperlink" Target="https://newsapi.org/v2/everything?domains=" TargetMode="External"/><Relationship Id="rId1016" Type="http://schemas.openxmlformats.org/officeDocument/2006/relationships/hyperlink" Target="https://themarkup.org/" TargetMode="External"/><Relationship Id="rId1017" Type="http://schemas.openxmlformats.org/officeDocument/2006/relationships/hyperlink" Target="https://newsapi.org/v2/everything?domains=" TargetMode="External"/><Relationship Id="rId1018" Type="http://schemas.openxmlformats.org/officeDocument/2006/relationships/hyperlink" Target="https://www.thenewhumanitarian.org/" TargetMode="External"/><Relationship Id="rId1019" Type="http://schemas.openxmlformats.org/officeDocument/2006/relationships/hyperlink" Target="https://newsapi.org/v2/everything?domains=" TargetMode="External"/><Relationship Id="rId426" Type="http://schemas.openxmlformats.org/officeDocument/2006/relationships/hyperlink" Target="https://flowingdata.com/" TargetMode="External"/><Relationship Id="rId668" Type="http://schemas.openxmlformats.org/officeDocument/2006/relationships/hyperlink" Target="http://fetchrss.com/rss/63e4e4830f32204f7f522ad263efb4592f8b02188a739152.xml" TargetMode="External"/><Relationship Id="rId425" Type="http://schemas.openxmlformats.org/officeDocument/2006/relationships/hyperlink" Target="https://flowingdata.com/feed" TargetMode="External"/><Relationship Id="rId667" Type="http://schemas.openxmlformats.org/officeDocument/2006/relationships/hyperlink" Target="https://newsapi.org/v2/everything?domains=" TargetMode="External"/><Relationship Id="rId424" Type="http://schemas.openxmlformats.org/officeDocument/2006/relationships/hyperlink" Target="https://flakphoto.substack.com/feed" TargetMode="External"/><Relationship Id="rId666" Type="http://schemas.openxmlformats.org/officeDocument/2006/relationships/hyperlink" Target="https://www.nasa.gov/" TargetMode="External"/><Relationship Id="rId423" Type="http://schemas.openxmlformats.org/officeDocument/2006/relationships/hyperlink" Target="https://newsapi.org/v2/everything?domains=" TargetMode="External"/><Relationship Id="rId665" Type="http://schemas.openxmlformats.org/officeDocument/2006/relationships/hyperlink" Target="https://www.nasa.gov/rss/dyn/breaking_news.rss" TargetMode="External"/><Relationship Id="rId429" Type="http://schemas.openxmlformats.org/officeDocument/2006/relationships/hyperlink" Target="https://fontsinuse.com/" TargetMode="External"/><Relationship Id="rId428" Type="http://schemas.openxmlformats.org/officeDocument/2006/relationships/hyperlink" Target="https://feeds.feedburner.com/FontsInUseAll" TargetMode="External"/><Relationship Id="rId427" Type="http://schemas.openxmlformats.org/officeDocument/2006/relationships/hyperlink" Target="https://newsapi.org/v2/everything?domains=" TargetMode="External"/><Relationship Id="rId669" Type="http://schemas.openxmlformats.org/officeDocument/2006/relationships/hyperlink" Target="https://www.nasaspaceflight.com/" TargetMode="External"/><Relationship Id="rId660" Type="http://schemas.openxmlformats.org/officeDocument/2006/relationships/hyperlink" Target="https://moz.com/posts/rss/blog" TargetMode="External"/><Relationship Id="rId1010" Type="http://schemas.openxmlformats.org/officeDocument/2006/relationships/hyperlink" Target="https://www.thefoxisblack.com/" TargetMode="External"/><Relationship Id="rId422" Type="http://schemas.openxmlformats.org/officeDocument/2006/relationships/hyperlink" Target="https://fivethirtyeight.com/" TargetMode="External"/><Relationship Id="rId664" Type="http://schemas.openxmlformats.org/officeDocument/2006/relationships/hyperlink" Target="https://newsapi.org/v2/everything?domains=" TargetMode="External"/><Relationship Id="rId1011" Type="http://schemas.openxmlformats.org/officeDocument/2006/relationships/hyperlink" Target="https://newsapi.org/v2/everything?domains=" TargetMode="External"/><Relationship Id="rId421" Type="http://schemas.openxmlformats.org/officeDocument/2006/relationships/hyperlink" Target="https://newsapi.org/v2/everything?domains=" TargetMode="External"/><Relationship Id="rId663" Type="http://schemas.openxmlformats.org/officeDocument/2006/relationships/hyperlink" Target="https://mubi.com/notebook" TargetMode="External"/><Relationship Id="rId1012" Type="http://schemas.openxmlformats.org/officeDocument/2006/relationships/hyperlink" Target="https://thehill.com/business/feed/" TargetMode="External"/><Relationship Id="rId420" Type="http://schemas.openxmlformats.org/officeDocument/2006/relationships/hyperlink" Target="https://fivebooks.com/" TargetMode="External"/><Relationship Id="rId662" Type="http://schemas.openxmlformats.org/officeDocument/2006/relationships/hyperlink" Target="https://newsapi.org/v2/everything?domains=" TargetMode="External"/><Relationship Id="rId1013" Type="http://schemas.openxmlformats.org/officeDocument/2006/relationships/hyperlink" Target="https://www.thehistoryblog.com/feed" TargetMode="External"/><Relationship Id="rId661" Type="http://schemas.openxmlformats.org/officeDocument/2006/relationships/hyperlink" Target="https://moz.com/blog" TargetMode="External"/><Relationship Id="rId1014" Type="http://schemas.openxmlformats.org/officeDocument/2006/relationships/hyperlink" Target="http://www.thehistoryblog.com/" TargetMode="External"/><Relationship Id="rId1004" Type="http://schemas.openxmlformats.org/officeDocument/2006/relationships/hyperlink" Target="https://thedieline.com/feed/posts" TargetMode="External"/><Relationship Id="rId1005" Type="http://schemas.openxmlformats.org/officeDocument/2006/relationships/hyperlink" Target="https://thedieline.com/?" TargetMode="External"/><Relationship Id="rId1006" Type="http://schemas.openxmlformats.org/officeDocument/2006/relationships/hyperlink" Target="https://newsapi.org/v2/everything?domains=" TargetMode="External"/><Relationship Id="rId1007" Type="http://schemas.openxmlformats.org/officeDocument/2006/relationships/hyperlink" Target="https://www.thedrum.com/us" TargetMode="External"/><Relationship Id="rId1008" Type="http://schemas.openxmlformats.org/officeDocument/2006/relationships/hyperlink" Target="https://newsapi.org/v2/everything?domains=" TargetMode="External"/><Relationship Id="rId1009" Type="http://schemas.openxmlformats.org/officeDocument/2006/relationships/hyperlink" Target="https://www.thefoxisblack.com/feed" TargetMode="External"/><Relationship Id="rId415" Type="http://schemas.openxmlformats.org/officeDocument/2006/relationships/hyperlink" Target="https://newsapi.org/v2/everything?domains=" TargetMode="External"/><Relationship Id="rId657" Type="http://schemas.openxmlformats.org/officeDocument/2006/relationships/hyperlink" Target="https://moviesfilmsandflix.com/feed/" TargetMode="External"/><Relationship Id="rId899" Type="http://schemas.openxmlformats.org/officeDocument/2006/relationships/hyperlink" Target="https://newsapi.org/v2/everything?domains=" TargetMode="External"/><Relationship Id="rId414" Type="http://schemas.openxmlformats.org/officeDocument/2006/relationships/hyperlink" Target="https://www.federalreserve.gov/" TargetMode="External"/><Relationship Id="rId656" Type="http://schemas.openxmlformats.org/officeDocument/2006/relationships/hyperlink" Target="https://newsapi.org/v2/everything?domains=" TargetMode="External"/><Relationship Id="rId898" Type="http://schemas.openxmlformats.org/officeDocument/2006/relationships/hyperlink" Target="https://sensiblemed.substack.com/feed" TargetMode="External"/><Relationship Id="rId413" Type="http://schemas.openxmlformats.org/officeDocument/2006/relationships/hyperlink" Target="https://newsapi.org/v2/everything?domains=" TargetMode="External"/><Relationship Id="rId655" Type="http://schemas.openxmlformats.org/officeDocument/2006/relationships/hyperlink" Target="https://www.motortrend.com/" TargetMode="External"/><Relationship Id="rId897" Type="http://schemas.openxmlformats.org/officeDocument/2006/relationships/hyperlink" Target="https://newsapi.org/v2/everything?domains=" TargetMode="External"/><Relationship Id="rId412" Type="http://schemas.openxmlformats.org/officeDocument/2006/relationships/hyperlink" Target="https://www.fda.gov/" TargetMode="External"/><Relationship Id="rId654" Type="http://schemas.openxmlformats.org/officeDocument/2006/relationships/hyperlink" Target="https://newsapi.org/v2/everything?domains=" TargetMode="External"/><Relationship Id="rId896" Type="http://schemas.openxmlformats.org/officeDocument/2006/relationships/hyperlink" Target="https://searchengineland.com/" TargetMode="External"/><Relationship Id="rId419" Type="http://schemas.openxmlformats.org/officeDocument/2006/relationships/hyperlink" Target="http://fetchrss.com/rss/63e4e4830f32204f7f522ad263efbbef7d44b250ba11f822.xml" TargetMode="External"/><Relationship Id="rId418" Type="http://schemas.openxmlformats.org/officeDocument/2006/relationships/hyperlink" Target="https://newsapi.org/v2/everything?domains=" TargetMode="External"/><Relationship Id="rId417" Type="http://schemas.openxmlformats.org/officeDocument/2006/relationships/hyperlink" Target="https://thefilmstage.com/" TargetMode="External"/><Relationship Id="rId659" Type="http://schemas.openxmlformats.org/officeDocument/2006/relationships/hyperlink" Target="https://newsapi.org/v2/everything?domains=" TargetMode="External"/><Relationship Id="rId416" Type="http://schemas.openxmlformats.org/officeDocument/2006/relationships/hyperlink" Target="http://feeds.feedburner.com/thefilmstage" TargetMode="External"/><Relationship Id="rId658" Type="http://schemas.openxmlformats.org/officeDocument/2006/relationships/hyperlink" Target="https://moviesfilmsandflix.com/" TargetMode="External"/><Relationship Id="rId891" Type="http://schemas.openxmlformats.org/officeDocument/2006/relationships/hyperlink" Target="https://newsapi.org/v2/everything?domains=" TargetMode="External"/><Relationship Id="rId890" Type="http://schemas.openxmlformats.org/officeDocument/2006/relationships/hyperlink" Target="https://www.sciencedaily.com/" TargetMode="External"/><Relationship Id="rId411" Type="http://schemas.openxmlformats.org/officeDocument/2006/relationships/hyperlink" Target="https://newsapi.org/v2/everything?domains=" TargetMode="External"/><Relationship Id="rId653" Type="http://schemas.openxmlformats.org/officeDocument/2006/relationships/hyperlink" Target="https://www.morningbrew.com/daily/stories/2022/09/14/sports-card-traders-have-turned-a-childhood-hobby-into-a-major-investment" TargetMode="External"/><Relationship Id="rId895" Type="http://schemas.openxmlformats.org/officeDocument/2006/relationships/hyperlink" Target="https://newsapi.org/v2/everything?domains=" TargetMode="External"/><Relationship Id="rId1000" Type="http://schemas.openxmlformats.org/officeDocument/2006/relationships/hyperlink" Target="https://newsapi.org/v2/everything?domains=" TargetMode="External"/><Relationship Id="rId410" Type="http://schemas.openxmlformats.org/officeDocument/2006/relationships/hyperlink" Target="https://fs.blog/" TargetMode="External"/><Relationship Id="rId652" Type="http://schemas.openxmlformats.org/officeDocument/2006/relationships/hyperlink" Target="https://newsapi.org/v2/everything?domains=" TargetMode="External"/><Relationship Id="rId894" Type="http://schemas.openxmlformats.org/officeDocument/2006/relationships/hyperlink" Target="https://www.scientificamerican.com/" TargetMode="External"/><Relationship Id="rId1001" Type="http://schemas.openxmlformats.org/officeDocument/2006/relationships/hyperlink" Target="https://thedailywtf.com/" TargetMode="External"/><Relationship Id="rId651" Type="http://schemas.openxmlformats.org/officeDocument/2006/relationships/hyperlink" Target="https://www.mongabay.com/" TargetMode="External"/><Relationship Id="rId893" Type="http://schemas.openxmlformats.org/officeDocument/2006/relationships/hyperlink" Target="https://newsapi.org/v2/everything?domains=" TargetMode="External"/><Relationship Id="rId1002" Type="http://schemas.openxmlformats.org/officeDocument/2006/relationships/hyperlink" Target="https://newsapi.org/v2/everything?domains=" TargetMode="External"/><Relationship Id="rId650" Type="http://schemas.openxmlformats.org/officeDocument/2006/relationships/hyperlink" Target="https://news.mongabay.com/feed/" TargetMode="External"/><Relationship Id="rId892" Type="http://schemas.openxmlformats.org/officeDocument/2006/relationships/hyperlink" Target="https://www.science.org/" TargetMode="External"/><Relationship Id="rId1003" Type="http://schemas.openxmlformats.org/officeDocument/2006/relationships/hyperlink" Target="https://thedeletedscenes.substack.com/" TargetMode="External"/><Relationship Id="rId1037" Type="http://schemas.openxmlformats.org/officeDocument/2006/relationships/hyperlink" Target="https://newsapi.org/v2/everything?domains=" TargetMode="External"/><Relationship Id="rId1038" Type="http://schemas.openxmlformats.org/officeDocument/2006/relationships/hyperlink" Target="https://thepathosofthings.substack.com/" TargetMode="External"/><Relationship Id="rId1039" Type="http://schemas.openxmlformats.org/officeDocument/2006/relationships/hyperlink" Target="https://www.planetary.org/" TargetMode="External"/><Relationship Id="rId206" Type="http://schemas.openxmlformats.org/officeDocument/2006/relationships/hyperlink" Target="http://fetchrss.com/rss/63e4e4830f32204f7f522ad263e78b63daee3d65fa205332.xml" TargetMode="External"/><Relationship Id="rId448" Type="http://schemas.openxmlformats.org/officeDocument/2006/relationships/hyperlink" Target="http://fetchrss.com/rss/63e4e4830f32204f7f522ad263ea0152fc0716504e347d72.xml" TargetMode="External"/><Relationship Id="rId205" Type="http://schemas.openxmlformats.org/officeDocument/2006/relationships/hyperlink" Target="https://newsapi.org/v2/everything?domains=" TargetMode="External"/><Relationship Id="rId447" Type="http://schemas.openxmlformats.org/officeDocument/2006/relationships/hyperlink" Target="http://fetchrss.com/rss/63e4e4830f32204f7f522ad263ea01fc44b08b5c737b0803.xml" TargetMode="External"/><Relationship Id="rId689" Type="http://schemas.openxmlformats.org/officeDocument/2006/relationships/hyperlink" Target="http://fetchrss.com/rss/63e4e4830f32204f7f522ad263e4fa7f915c396759375c72.xml" TargetMode="External"/><Relationship Id="rId204" Type="http://schemas.openxmlformats.org/officeDocument/2006/relationships/hyperlink" Target="https://calpaterson.com/" TargetMode="External"/><Relationship Id="rId446" Type="http://schemas.openxmlformats.org/officeDocument/2006/relationships/hyperlink" Target="http://fetchrss.com/rss/63e4e4830f32204f7f522ad263ea01e2c23e263bb46e2a42.xml" TargetMode="External"/><Relationship Id="rId688" Type="http://schemas.openxmlformats.org/officeDocument/2006/relationships/hyperlink" Target="http://fetchrss.com/rss/63e4e4830f32204f7f522ad263e4fa534ab7b54b490d2342.xml" TargetMode="External"/><Relationship Id="rId203" Type="http://schemas.openxmlformats.org/officeDocument/2006/relationships/hyperlink" Target="https://calpaterson.com/calpaterson.rss" TargetMode="External"/><Relationship Id="rId445" Type="http://schemas.openxmlformats.org/officeDocument/2006/relationships/hyperlink" Target="http://fetchrss.com/rss/63e4e4830f32204f7f522ad263ea019d9cf7c15da645ffc2.xml" TargetMode="External"/><Relationship Id="rId687" Type="http://schemas.openxmlformats.org/officeDocument/2006/relationships/hyperlink" Target="http://fetchrss.com/rss/63e4e4830f32204f7f522ad263e4fa304f01247aed33ff33.xml" TargetMode="External"/><Relationship Id="rId209" Type="http://schemas.openxmlformats.org/officeDocument/2006/relationships/hyperlink" Target="http://fetchrss.com/rss/63e4e4830f32204f7f522ad263e78a4b42e91a12c60f2f62.xml" TargetMode="External"/><Relationship Id="rId208" Type="http://schemas.openxmlformats.org/officeDocument/2006/relationships/hyperlink" Target="http://fetchrss.com/rss/63e4e4830f32204f7f522ad263e78a848b105f4333045f22.xml" TargetMode="External"/><Relationship Id="rId207" Type="http://schemas.openxmlformats.org/officeDocument/2006/relationships/hyperlink" Target="http://fetchrss.com/rss/63e4e4830f32204f7f522ad263e78b9e5635fe4bca7abf72.xml" TargetMode="External"/><Relationship Id="rId449" Type="http://schemas.openxmlformats.org/officeDocument/2006/relationships/hyperlink" Target="http://fetchrss.com/rss/63e4e4830f32204f7f522ad263ea024fb1bbb33918345792.xml" TargetMode="External"/><Relationship Id="rId440" Type="http://schemas.openxmlformats.org/officeDocument/2006/relationships/hyperlink" Target="http://fetchrss.com/rss/63e4e4830f32204f7f522ad263ea01bd7922145cd06401c3.xml" TargetMode="External"/><Relationship Id="rId682" Type="http://schemas.openxmlformats.org/officeDocument/2006/relationships/hyperlink" Target="http://fetchrss.com/rss/63e4e4830f32204f7f522ad263e4f9158c336a44de17abb2.xml" TargetMode="External"/><Relationship Id="rId681" Type="http://schemas.openxmlformats.org/officeDocument/2006/relationships/hyperlink" Target="http://fetchrss.com/rss/63e4e4830f32204f7f522ad263e4f8d9262361773053bef2.xml" TargetMode="External"/><Relationship Id="rId1030" Type="http://schemas.openxmlformats.org/officeDocument/2006/relationships/hyperlink" Target="http://fetchrss.com/rss/63e4e4830f32204f7f522ad264006ab451b57f36e02b3793.xml" TargetMode="External"/><Relationship Id="rId680" Type="http://schemas.openxmlformats.org/officeDocument/2006/relationships/hyperlink" Target="http://fetchrss.com/rss/63e4e4830f32204f7f522ad263e4f8ad98717313641f34b2.xml" TargetMode="External"/><Relationship Id="rId1031" Type="http://schemas.openxmlformats.org/officeDocument/2006/relationships/hyperlink" Target="http://fetchrss.com/rss/63e4e4830f32204f7f522ad264006a15e178b7554747e7b2.xml" TargetMode="External"/><Relationship Id="rId1032" Type="http://schemas.openxmlformats.org/officeDocument/2006/relationships/hyperlink" Target="http://fetchrss.com/rss/63e4e4830f32204f7f522ad26400693e54b3824b842300e2.xml" TargetMode="External"/><Relationship Id="rId202" Type="http://schemas.openxmlformats.org/officeDocument/2006/relationships/hyperlink" Target="https://newsapi.org/v2/everything?domains=" TargetMode="External"/><Relationship Id="rId444" Type="http://schemas.openxmlformats.org/officeDocument/2006/relationships/hyperlink" Target="http://fetchrss.com/rss/63e4e4830f32204f7f522ad263ea013405597a3e7c3de692.xml" TargetMode="External"/><Relationship Id="rId686" Type="http://schemas.openxmlformats.org/officeDocument/2006/relationships/hyperlink" Target="http://fetchrss.com/rss/63e4e4830f32204f7f522ad263e4fa06a277910d055c1002.xml" TargetMode="External"/><Relationship Id="rId1033" Type="http://schemas.openxmlformats.org/officeDocument/2006/relationships/hyperlink" Target="https://thenextweb.com/" TargetMode="External"/><Relationship Id="rId201" Type="http://schemas.openxmlformats.org/officeDocument/2006/relationships/hyperlink" Target="https://www.businessoffashion.com/" TargetMode="External"/><Relationship Id="rId443" Type="http://schemas.openxmlformats.org/officeDocument/2006/relationships/hyperlink" Target="http://fetchrss.com/rss/63e4e4830f32204f7f522ad263ea01749cfe522ec9415812.xml" TargetMode="External"/><Relationship Id="rId685" Type="http://schemas.openxmlformats.org/officeDocument/2006/relationships/hyperlink" Target="http://fetchrss.com/rss/63e4e4830f32204f7f522ad263e4f9bd0ce8af1f71000242.xml" TargetMode="External"/><Relationship Id="rId1034" Type="http://schemas.openxmlformats.org/officeDocument/2006/relationships/hyperlink" Target="https://newsapi.org/v2/everything?domains=" TargetMode="External"/><Relationship Id="rId200" Type="http://schemas.openxmlformats.org/officeDocument/2006/relationships/hyperlink" Target="https://www.businessoffashion.com/arc/outboundfeeds/rss/?outputType=xml" TargetMode="External"/><Relationship Id="rId442" Type="http://schemas.openxmlformats.org/officeDocument/2006/relationships/hyperlink" Target="http://fetchrss.com/rss/63e4e4830f32204f7f522ad263ea00d9efed8d4c80404d42.xml" TargetMode="External"/><Relationship Id="rId684" Type="http://schemas.openxmlformats.org/officeDocument/2006/relationships/hyperlink" Target="http://fetchrss.com/rss/63e4e4830f32204f7f522ad263e4f994d250b977cb0d1d12.xml" TargetMode="External"/><Relationship Id="rId1035" Type="http://schemas.openxmlformats.org/officeDocument/2006/relationships/hyperlink" Target="https://feeds.feedburner.com/TheParisReviewBlog" TargetMode="External"/><Relationship Id="rId441" Type="http://schemas.openxmlformats.org/officeDocument/2006/relationships/hyperlink" Target="http://fetchrss.com/rss/63e4e4830f32204f7f522ad263ea02182ffdcc15c06708c3.xml" TargetMode="External"/><Relationship Id="rId683" Type="http://schemas.openxmlformats.org/officeDocument/2006/relationships/hyperlink" Target="http://fetchrss.com/rss/63e4e4830f32204f7f522ad263e4f96a4edfaa31ec6e4062.xml" TargetMode="External"/><Relationship Id="rId1036" Type="http://schemas.openxmlformats.org/officeDocument/2006/relationships/hyperlink" Target="https://www.theparisreview.org/" TargetMode="External"/><Relationship Id="rId1026" Type="http://schemas.openxmlformats.org/officeDocument/2006/relationships/hyperlink" Target="http://fetchrss.com/rss/63e4e4830f32204f7f522ad2640068e884abe1521f2f58f2.xml" TargetMode="External"/><Relationship Id="rId1027" Type="http://schemas.openxmlformats.org/officeDocument/2006/relationships/hyperlink" Target="http://fetchrss.com/rss/63e4e4830f32204f7f522ad2640069de3bd5df742c6a2572.xml" TargetMode="External"/><Relationship Id="rId1028" Type="http://schemas.openxmlformats.org/officeDocument/2006/relationships/hyperlink" Target="http://fetchrss.com/rss/63e4e4830f32204f7f522ad264006985322ae316031b30c2.xml" TargetMode="External"/><Relationship Id="rId1029" Type="http://schemas.openxmlformats.org/officeDocument/2006/relationships/hyperlink" Target="http://fetchrss.com/rss/63e4e4830f32204f7f522ad264006ada2bf34c5ca943ace2.xml" TargetMode="External"/><Relationship Id="rId437" Type="http://schemas.openxmlformats.org/officeDocument/2006/relationships/hyperlink" Target="http://fetchrss.com/rss/63e4e4830f32204f7f522ad263eeb23f49813932330883a3.xml" TargetMode="External"/><Relationship Id="rId679" Type="http://schemas.openxmlformats.org/officeDocument/2006/relationships/hyperlink" Target="http://fetchrss.com/rss/63e4e4830f32204f7f522ad263e4f71bd3150b2207429be2.xml" TargetMode="External"/><Relationship Id="rId436" Type="http://schemas.openxmlformats.org/officeDocument/2006/relationships/hyperlink" Target="https://freddiedeboer.substack.com/feed" TargetMode="External"/><Relationship Id="rId678" Type="http://schemas.openxmlformats.org/officeDocument/2006/relationships/hyperlink" Target="http://fetchrss.com/rss/63e4e4830f32204f7f522ad263e4f6ea4ef4de3ae0406fa2.xml" TargetMode="External"/><Relationship Id="rId435" Type="http://schemas.openxmlformats.org/officeDocument/2006/relationships/hyperlink" Target="https://newsapi.org/v2/everything?domains=" TargetMode="External"/><Relationship Id="rId677" Type="http://schemas.openxmlformats.org/officeDocument/2006/relationships/hyperlink" Target="http://fetchrss.com/rss/63e4e4830f32204f7f522ad263e4f6c492d17f63334c06e2.xml" TargetMode="External"/><Relationship Id="rId434" Type="http://schemas.openxmlformats.org/officeDocument/2006/relationships/hyperlink" Target="https://www.foreignaffairs.com/" TargetMode="External"/><Relationship Id="rId676" Type="http://schemas.openxmlformats.org/officeDocument/2006/relationships/hyperlink" Target="http://fetchrss.com/rss/63e4e4830f32204f7f522ad263e4f67ee3305414c96fdd42.xml" TargetMode="External"/><Relationship Id="rId439" Type="http://schemas.openxmlformats.org/officeDocument/2006/relationships/hyperlink" Target="https://newsapi.org/v2/everything?domains=" TargetMode="External"/><Relationship Id="rId438" Type="http://schemas.openxmlformats.org/officeDocument/2006/relationships/hyperlink" Target="https://www.freecodecamp.org/news" TargetMode="External"/><Relationship Id="rId671" Type="http://schemas.openxmlformats.org/officeDocument/2006/relationships/hyperlink" Target="https://www.nature.com/" TargetMode="External"/><Relationship Id="rId670" Type="http://schemas.openxmlformats.org/officeDocument/2006/relationships/hyperlink" Target="https://newsapi.org/v2/everything?domains=" TargetMode="External"/><Relationship Id="rId1020" Type="http://schemas.openxmlformats.org/officeDocument/2006/relationships/hyperlink" Target="https://bonjour.lindseytramuta.com/feed" TargetMode="External"/><Relationship Id="rId1021" Type="http://schemas.openxmlformats.org/officeDocument/2006/relationships/hyperlink" Target="https://bonjour.lindseytramuta.com/" TargetMode="External"/><Relationship Id="rId433" Type="http://schemas.openxmlformats.org/officeDocument/2006/relationships/hyperlink" Target="https://newsapi.org/v2/everything?domains=" TargetMode="External"/><Relationship Id="rId675" Type="http://schemas.openxmlformats.org/officeDocument/2006/relationships/hyperlink" Target="http://fetchrss.com/rss/63e4e4830f32204f7f522ad263e4f639e21c8974d5371bb2.xml" TargetMode="External"/><Relationship Id="rId1022" Type="http://schemas.openxmlformats.org/officeDocument/2006/relationships/hyperlink" Target="https://newsapi.org/v2/everything?domains=" TargetMode="External"/><Relationship Id="rId432" Type="http://schemas.openxmlformats.org/officeDocument/2006/relationships/hyperlink" Target="https://fontsinuse.com/" TargetMode="External"/><Relationship Id="rId674" Type="http://schemas.openxmlformats.org/officeDocument/2006/relationships/hyperlink" Target="http://fetchrss.com/rss/63e4e4830f32204f7f522ad263e4f5e816d1ed1e7d24dd12.xml" TargetMode="External"/><Relationship Id="rId1023" Type="http://schemas.openxmlformats.org/officeDocument/2006/relationships/hyperlink" Target="http://fetchrss.com/rss/63e4e4830f32204f7f522ad264006a7a0e888f2a713401d2.xml" TargetMode="External"/><Relationship Id="rId431" Type="http://schemas.openxmlformats.org/officeDocument/2006/relationships/hyperlink" Target="https://feeds.feedburner.com/FontsInUse" TargetMode="External"/><Relationship Id="rId673" Type="http://schemas.openxmlformats.org/officeDocument/2006/relationships/hyperlink" Target="http://fetchrss.com/rss/63e4e4830f32204f7f522ad263e4f5624fe02c32dd21c8d2.xml" TargetMode="External"/><Relationship Id="rId1024" Type="http://schemas.openxmlformats.org/officeDocument/2006/relationships/hyperlink" Target="http://fetchrss.com/rss/63e4e4830f32204f7f522ad2640069b3a9351c1f8204cc42.xml" TargetMode="External"/><Relationship Id="rId430" Type="http://schemas.openxmlformats.org/officeDocument/2006/relationships/hyperlink" Target="https://newsapi.org/v2/everything?domains=" TargetMode="External"/><Relationship Id="rId672" Type="http://schemas.openxmlformats.org/officeDocument/2006/relationships/hyperlink" Target="https://newsapi.org/v2/everything?domains=" TargetMode="External"/><Relationship Id="rId1025" Type="http://schemas.openxmlformats.org/officeDocument/2006/relationships/hyperlink" Target="http://fetchrss.com/rss/63e4e4830f32204f7f522ad264006a58e178b7554747e7b3.x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orldview.stratfor.com/" TargetMode="External"/><Relationship Id="rId2" Type="http://schemas.openxmlformats.org/officeDocument/2006/relationships/hyperlink" Target="http://vogue.com/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loomberg.com/opinion/authors/ARbTQlRLRjE/matthew-s-levine" TargetMode="External"/><Relationship Id="rId2" Type="http://schemas.openxmlformats.org/officeDocument/2006/relationships/hyperlink" Target="https://www.bloomberg.com/authors/AR3OYuAmvcU/noah-smith" TargetMode="External"/><Relationship Id="rId3" Type="http://schemas.openxmlformats.org/officeDocument/2006/relationships/hyperlink" Target="https://lithub.com/" TargetMode="External"/><Relationship Id="rId4" Type="http://schemas.openxmlformats.org/officeDocument/2006/relationships/hyperlink" Target="https://heathercoxrichardson.substack.com/" TargetMode="External"/><Relationship Id="rId9" Type="http://schemas.openxmlformats.org/officeDocument/2006/relationships/hyperlink" Target="https://club.drawtogether.studio/" TargetMode="External"/><Relationship Id="rId5" Type="http://schemas.openxmlformats.org/officeDocument/2006/relationships/hyperlink" Target="https://dac.dk/en/knowledgebase/architecture/" TargetMode="External"/><Relationship Id="rId6" Type="http://schemas.openxmlformats.org/officeDocument/2006/relationships/hyperlink" Target="https://www.texasmonthly.com/" TargetMode="External"/><Relationship Id="rId7" Type="http://schemas.openxmlformats.org/officeDocument/2006/relationships/hyperlink" Target="https://www.bicycling.com/" TargetMode="External"/><Relationship Id="rId8" Type="http://schemas.openxmlformats.org/officeDocument/2006/relationships/hyperlink" Target="https://www.thecut.com/" TargetMode="External"/><Relationship Id="rId40" Type="http://schemas.openxmlformats.org/officeDocument/2006/relationships/hyperlink" Target="https://www.undp.org/" TargetMode="External"/><Relationship Id="rId42" Type="http://schemas.openxmlformats.org/officeDocument/2006/relationships/hyperlink" Target="http://sqapo.com/index.htm" TargetMode="External"/><Relationship Id="rId41" Type="http://schemas.openxmlformats.org/officeDocument/2006/relationships/hyperlink" Target="https://fashion-era.com/" TargetMode="External"/><Relationship Id="rId44" Type="http://schemas.openxmlformats.org/officeDocument/2006/relationships/hyperlink" Target="https://uxdesign.cc/" TargetMode="External"/><Relationship Id="rId43" Type="http://schemas.openxmlformats.org/officeDocument/2006/relationships/hyperlink" Target="http://crpgaddict.blogspot.com/" TargetMode="External"/><Relationship Id="rId46" Type="http://schemas.openxmlformats.org/officeDocument/2006/relationships/hyperlink" Target="https://www.featureshoot.com/" TargetMode="External"/><Relationship Id="rId45" Type="http://schemas.openxmlformats.org/officeDocument/2006/relationships/hyperlink" Target="https://www.aljazeera.com/" TargetMode="External"/><Relationship Id="rId48" Type="http://schemas.openxmlformats.org/officeDocument/2006/relationships/hyperlink" Target="https://engelsbergideas.com/" TargetMode="External"/><Relationship Id="rId47" Type="http://schemas.openxmlformats.org/officeDocument/2006/relationships/hyperlink" Target="https://theankler.com/" TargetMode="External"/><Relationship Id="rId49" Type="http://schemas.openxmlformats.org/officeDocument/2006/relationships/hyperlink" Target="https://www.thefp.com/" TargetMode="External"/><Relationship Id="rId31" Type="http://schemas.openxmlformats.org/officeDocument/2006/relationships/hyperlink" Target="https://www.savoirflair.com/" TargetMode="External"/><Relationship Id="rId30" Type="http://schemas.openxmlformats.org/officeDocument/2006/relationships/hyperlink" Target="https://www.iiss.org/" TargetMode="External"/><Relationship Id="rId33" Type="http://schemas.openxmlformats.org/officeDocument/2006/relationships/hyperlink" Target="https://www.sciencedirect.com/" TargetMode="External"/><Relationship Id="rId32" Type="http://schemas.openxmlformats.org/officeDocument/2006/relationships/hyperlink" Target="https://www.behance.net/" TargetMode="External"/><Relationship Id="rId35" Type="http://schemas.openxmlformats.org/officeDocument/2006/relationships/hyperlink" Target="https://butdoesitfloat.com/" TargetMode="External"/><Relationship Id="rId34" Type="http://schemas.openxmlformats.org/officeDocument/2006/relationships/hyperlink" Target="https://www.world-architects.com/en" TargetMode="External"/><Relationship Id="rId37" Type="http://schemas.openxmlformats.org/officeDocument/2006/relationships/hyperlink" Target="https://theinspirationgrid.com/category/design/" TargetMode="External"/><Relationship Id="rId36" Type="http://schemas.openxmlformats.org/officeDocument/2006/relationships/hyperlink" Target="https://interfaceingame.com/articles/" TargetMode="External"/><Relationship Id="rId39" Type="http://schemas.openxmlformats.org/officeDocument/2006/relationships/hyperlink" Target="https://thedreamstress.com/" TargetMode="External"/><Relationship Id="rId38" Type="http://schemas.openxmlformats.org/officeDocument/2006/relationships/hyperlink" Target="https://www.theartstory.org/" TargetMode="External"/><Relationship Id="rId20" Type="http://schemas.openxmlformats.org/officeDocument/2006/relationships/hyperlink" Target="https://leibal.com/" TargetMode="External"/><Relationship Id="rId22" Type="http://schemas.openxmlformats.org/officeDocument/2006/relationships/hyperlink" Target="https://novellamag.com/" TargetMode="External"/><Relationship Id="rId21" Type="http://schemas.openxmlformats.org/officeDocument/2006/relationships/hyperlink" Target="https://lww.com/pages/default.aspx" TargetMode="External"/><Relationship Id="rId24" Type="http://schemas.openxmlformats.org/officeDocument/2006/relationships/hyperlink" Target="https://unherd.com/" TargetMode="External"/><Relationship Id="rId23" Type="http://schemas.openxmlformats.org/officeDocument/2006/relationships/hyperlink" Target="https://whynothugo.nl/" TargetMode="External"/><Relationship Id="rId26" Type="http://schemas.openxmlformats.org/officeDocument/2006/relationships/hyperlink" Target="https://architizer.com/" TargetMode="External"/><Relationship Id="rId25" Type="http://schemas.openxmlformats.org/officeDocument/2006/relationships/hyperlink" Target="https://www.thedesignchaser.com/2022/11/can-roig-by-bloomint-design.html" TargetMode="External"/><Relationship Id="rId28" Type="http://schemas.openxmlformats.org/officeDocument/2006/relationships/hyperlink" Target="https://www.calvertjournal.com/" TargetMode="External"/><Relationship Id="rId27" Type="http://schemas.openxmlformats.org/officeDocument/2006/relationships/hyperlink" Target="https://www.beatportal.com/" TargetMode="External"/><Relationship Id="rId29" Type="http://schemas.openxmlformats.org/officeDocument/2006/relationships/hyperlink" Target="https://errorstatistics.com/" TargetMode="External"/><Relationship Id="rId11" Type="http://schemas.openxmlformats.org/officeDocument/2006/relationships/hyperlink" Target="https://www.marketingweek.com/more-messages-more-effectiveness/" TargetMode="External"/><Relationship Id="rId10" Type="http://schemas.openxmlformats.org/officeDocument/2006/relationships/hyperlink" Target="https://www.hcn.org/" TargetMode="External"/><Relationship Id="rId13" Type="http://schemas.openxmlformats.org/officeDocument/2006/relationships/hyperlink" Target="https://www.nytimes.com/" TargetMode="External"/><Relationship Id="rId12" Type="http://schemas.openxmlformats.org/officeDocument/2006/relationships/hyperlink" Target="https://discovermagazine.com/" TargetMode="External"/><Relationship Id="rId15" Type="http://schemas.openxmlformats.org/officeDocument/2006/relationships/hyperlink" Target="https://www.fieldandstream.com/" TargetMode="External"/><Relationship Id="rId14" Type="http://schemas.openxmlformats.org/officeDocument/2006/relationships/hyperlink" Target="https://www.wsj.com/" TargetMode="External"/><Relationship Id="rId17" Type="http://schemas.openxmlformats.org/officeDocument/2006/relationships/hyperlink" Target="https://www.acs.org/content/acs/en.html" TargetMode="External"/><Relationship Id="rId16" Type="http://schemas.openxmlformats.org/officeDocument/2006/relationships/hyperlink" Target="https://99percentinvisible.org/articles/" TargetMode="External"/><Relationship Id="rId19" Type="http://schemas.openxmlformats.org/officeDocument/2006/relationships/hyperlink" Target="https://www.context.news/" TargetMode="External"/><Relationship Id="rId18" Type="http://schemas.openxmlformats.org/officeDocument/2006/relationships/hyperlink" Target="https://www.badassoftheweek.com/archive" TargetMode="External"/><Relationship Id="rId70" Type="http://schemas.openxmlformats.org/officeDocument/2006/relationships/drawing" Target="../drawings/drawing11.xml"/><Relationship Id="rId62" Type="http://schemas.openxmlformats.org/officeDocument/2006/relationships/hyperlink" Target="https://www.media.mit.edu/" TargetMode="External"/><Relationship Id="rId61" Type="http://schemas.openxmlformats.org/officeDocument/2006/relationships/hyperlink" Target="https://www.morganlewis.com/our-thinking" TargetMode="External"/><Relationship Id="rId64" Type="http://schemas.openxmlformats.org/officeDocument/2006/relationships/hyperlink" Target="https://philosophymindscience.org/index.php/phimisci/index" TargetMode="External"/><Relationship Id="rId63" Type="http://schemas.openxmlformats.org/officeDocument/2006/relationships/hyperlink" Target="https://artuk.org/" TargetMode="External"/><Relationship Id="rId66" Type="http://schemas.openxmlformats.org/officeDocument/2006/relationships/hyperlink" Target="https://interestingengineering.com/" TargetMode="External"/><Relationship Id="rId65" Type="http://schemas.openxmlformats.org/officeDocument/2006/relationships/hyperlink" Target="http://boardgamedesigncourse.com" TargetMode="External"/><Relationship Id="rId68" Type="http://schemas.openxmlformats.org/officeDocument/2006/relationships/hyperlink" Target="https://chasechase.co/" TargetMode="External"/><Relationship Id="rId67" Type="http://schemas.openxmlformats.org/officeDocument/2006/relationships/hyperlink" Target="http://weatherology.com/trending/all-articles/" TargetMode="External"/><Relationship Id="rId60" Type="http://schemas.openxmlformats.org/officeDocument/2006/relationships/hyperlink" Target="https://www.euractiv.com/" TargetMode="External"/><Relationship Id="rId69" Type="http://schemas.openxmlformats.org/officeDocument/2006/relationships/hyperlink" Target="https://www.novelsuspects.com/" TargetMode="External"/><Relationship Id="rId51" Type="http://schemas.openxmlformats.org/officeDocument/2006/relationships/hyperlink" Target="https://www.papermag.com/fashion/" TargetMode="External"/><Relationship Id="rId50" Type="http://schemas.openxmlformats.org/officeDocument/2006/relationships/hyperlink" Target="https://www.thedriftmag.com/" TargetMode="External"/><Relationship Id="rId53" Type="http://schemas.openxmlformats.org/officeDocument/2006/relationships/hyperlink" Target="https://historynewsnetwork.org/" TargetMode="External"/><Relationship Id="rId52" Type="http://schemas.openxmlformats.org/officeDocument/2006/relationships/hyperlink" Target="https://heterodoxacademy.org/" TargetMode="External"/><Relationship Id="rId55" Type="http://schemas.openxmlformats.org/officeDocument/2006/relationships/hyperlink" Target="https://tvtropes.org/pmwiki/pmwiki.php/Main/RitualMagic" TargetMode="External"/><Relationship Id="rId54" Type="http://schemas.openxmlformats.org/officeDocument/2006/relationships/hyperlink" Target="https://www.wallpaper.com/travel" TargetMode="External"/><Relationship Id="rId57" Type="http://schemas.openxmlformats.org/officeDocument/2006/relationships/hyperlink" Target="https://pentawards.com/" TargetMode="External"/><Relationship Id="rId56" Type="http://schemas.openxmlformats.org/officeDocument/2006/relationships/hyperlink" Target="https://airwaysmag.com/" TargetMode="External"/><Relationship Id="rId59" Type="http://schemas.openxmlformats.org/officeDocument/2006/relationships/hyperlink" Target="https://www.thersa.org/" TargetMode="External"/><Relationship Id="rId58" Type="http://schemas.openxmlformats.org/officeDocument/2006/relationships/hyperlink" Target="https://www.airlineratings.com/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uters.com/technology/" TargetMode="External"/><Relationship Id="rId2" Type="http://schemas.openxmlformats.org/officeDocument/2006/relationships/hyperlink" Target="https://www.businessinsider.com/" TargetMode="External"/><Relationship Id="rId3" Type="http://schemas.openxmlformats.org/officeDocument/2006/relationships/hyperlink" Target="https://www.entrepreneur.com/" TargetMode="External"/><Relationship Id="rId4" Type="http://schemas.openxmlformats.org/officeDocument/2006/relationships/hyperlink" Target="https://www.britannica.com/" TargetMode="External"/><Relationship Id="rId9" Type="http://schemas.openxmlformats.org/officeDocument/2006/relationships/hyperlink" Target="https://www.thephoblographer.com/" TargetMode="External"/><Relationship Id="rId5" Type="http://schemas.openxmlformats.org/officeDocument/2006/relationships/hyperlink" Target="https://www.historyextra.com/" TargetMode="External"/><Relationship Id="rId6" Type="http://schemas.openxmlformats.org/officeDocument/2006/relationships/hyperlink" Target="https://www.complex.com/" TargetMode="External"/><Relationship Id="rId7" Type="http://schemas.openxmlformats.org/officeDocument/2006/relationships/hyperlink" Target="https://www.fastcompany.com/" TargetMode="External"/><Relationship Id="rId8" Type="http://schemas.openxmlformats.org/officeDocument/2006/relationships/hyperlink" Target="https://www.theguardian.com/us" TargetMode="External"/><Relationship Id="rId31" Type="http://schemas.openxmlformats.org/officeDocument/2006/relationships/drawing" Target="../drawings/drawing12.xml"/><Relationship Id="rId30" Type="http://schemas.openxmlformats.org/officeDocument/2006/relationships/hyperlink" Target="https://www.publishersweekly.com/pw/home/index.html" TargetMode="External"/><Relationship Id="rId20" Type="http://schemas.openxmlformats.org/officeDocument/2006/relationships/hyperlink" Target="http://thezoereport.com/" TargetMode="External"/><Relationship Id="rId22" Type="http://schemas.openxmlformats.org/officeDocument/2006/relationships/hyperlink" Target="https://fashionista.com/" TargetMode="External"/><Relationship Id="rId21" Type="http://schemas.openxmlformats.org/officeDocument/2006/relationships/hyperlink" Target="https://www.imore.com/" TargetMode="External"/><Relationship Id="rId24" Type="http://schemas.openxmlformats.org/officeDocument/2006/relationships/hyperlink" Target="https://theweek.com/" TargetMode="External"/><Relationship Id="rId23" Type="http://schemas.openxmlformats.org/officeDocument/2006/relationships/hyperlink" Target="https://www.inverse.com/" TargetMode="External"/><Relationship Id="rId26" Type="http://schemas.openxmlformats.org/officeDocument/2006/relationships/hyperlink" Target="https://www.healthcareitnews.com/" TargetMode="External"/><Relationship Id="rId25" Type="http://schemas.openxmlformats.org/officeDocument/2006/relationships/hyperlink" Target="https://simpleflying.com/" TargetMode="External"/><Relationship Id="rId28" Type="http://schemas.openxmlformats.org/officeDocument/2006/relationships/hyperlink" Target="https://www.sciencetimes.com/" TargetMode="External"/><Relationship Id="rId27" Type="http://schemas.openxmlformats.org/officeDocument/2006/relationships/hyperlink" Target="https://www.architectmagazine.com/" TargetMode="External"/><Relationship Id="rId29" Type="http://schemas.openxmlformats.org/officeDocument/2006/relationships/hyperlink" Target="https://www.mic.com/" TargetMode="External"/><Relationship Id="rId11" Type="http://schemas.openxmlformats.org/officeDocument/2006/relationships/hyperlink" Target="https://www.esquire.com/" TargetMode="External"/><Relationship Id="rId10" Type="http://schemas.openxmlformats.org/officeDocument/2006/relationships/hyperlink" Target="http://harpersbazaar.com/" TargetMode="External"/><Relationship Id="rId13" Type="http://schemas.openxmlformats.org/officeDocument/2006/relationships/hyperlink" Target="https://bookriot.com/" TargetMode="External"/><Relationship Id="rId12" Type="http://schemas.openxmlformats.org/officeDocument/2006/relationships/hyperlink" Target="https://www.nationalgeographic.com/" TargetMode="External"/><Relationship Id="rId15" Type="http://schemas.openxmlformats.org/officeDocument/2006/relationships/hyperlink" Target="http://apnews.com/" TargetMode="External"/><Relationship Id="rId14" Type="http://schemas.openxmlformats.org/officeDocument/2006/relationships/hyperlink" Target="https://edition.cnn.com/" TargetMode="External"/><Relationship Id="rId17" Type="http://schemas.openxmlformats.org/officeDocument/2006/relationships/hyperlink" Target="https://www.spectator.co.uk/" TargetMode="External"/><Relationship Id="rId16" Type="http://schemas.openxmlformats.org/officeDocument/2006/relationships/hyperlink" Target="https://www.politico.com/" TargetMode="External"/><Relationship Id="rId19" Type="http://schemas.openxmlformats.org/officeDocument/2006/relationships/hyperlink" Target="http://elle.com/" TargetMode="External"/><Relationship Id="rId18" Type="http://schemas.openxmlformats.org/officeDocument/2006/relationships/hyperlink" Target="http://essence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ategory:Main_topic_classifications" TargetMode="External"/><Relationship Id="rId2" Type="http://schemas.openxmlformats.org/officeDocument/2006/relationships/hyperlink" Target="https://en.wikipedia.org/wiki/Category:Architecture" TargetMode="External"/><Relationship Id="rId3" Type="http://schemas.openxmlformats.org/officeDocument/2006/relationships/hyperlink" Target="https://en.wikipedia.org/wiki/Category:Architectural_design" TargetMode="External"/><Relationship Id="rId4" Type="http://schemas.openxmlformats.org/officeDocument/2006/relationships/hyperlink" Target="https://en.wikipedia.org/wiki/Category:Museum_design" TargetMode="External"/><Relationship Id="rId9" Type="http://schemas.openxmlformats.org/officeDocument/2006/relationships/hyperlink" Target="https://en.wikipedia.org/wiki/Category:Blockchains" TargetMode="External"/><Relationship Id="rId5" Type="http://schemas.openxmlformats.org/officeDocument/2006/relationships/hyperlink" Target="https://en.wikipedia.org/wiki/Category:The_arts" TargetMode="External"/><Relationship Id="rId6" Type="http://schemas.openxmlformats.org/officeDocument/2006/relationships/hyperlink" Target="https://en.wikipedia.org/wiki/Category:Art_history" TargetMode="External"/><Relationship Id="rId7" Type="http://schemas.openxmlformats.org/officeDocument/2006/relationships/hyperlink" Target="https://en.wikipedia.org/wiki/Category:Business" TargetMode="External"/><Relationship Id="rId8" Type="http://schemas.openxmlformats.org/officeDocument/2006/relationships/hyperlink" Target="https://en.wikipedia.org/wiki/Category:Cryptocurrencies" TargetMode="External"/><Relationship Id="rId40" Type="http://schemas.openxmlformats.org/officeDocument/2006/relationships/hyperlink" Target="https://en.wikipedia.org/wiki/Category:User_interfaces" TargetMode="External"/><Relationship Id="rId42" Type="http://schemas.openxmlformats.org/officeDocument/2006/relationships/hyperlink" Target="https://en.wikipedia.org/wiki/Category:Computer_science" TargetMode="External"/><Relationship Id="rId41" Type="http://schemas.openxmlformats.org/officeDocument/2006/relationships/hyperlink" Target="https://en.wikipedia.org/wiki/Category:World" TargetMode="External"/><Relationship Id="rId44" Type="http://schemas.openxmlformats.org/officeDocument/2006/relationships/hyperlink" Target="https://en.wikipedia.org/wiki/Category:Biology" TargetMode="External"/><Relationship Id="rId43" Type="http://schemas.openxmlformats.org/officeDocument/2006/relationships/hyperlink" Target="https://en.wikipedia.org/wiki/Category:Literature" TargetMode="External"/><Relationship Id="rId45" Type="http://schemas.openxmlformats.org/officeDocument/2006/relationships/drawing" Target="../drawings/drawing6.xml"/><Relationship Id="rId31" Type="http://schemas.openxmlformats.org/officeDocument/2006/relationships/hyperlink" Target="https://en.wikipedia.org/wiki/Category:Photography" TargetMode="External"/><Relationship Id="rId30" Type="http://schemas.openxmlformats.org/officeDocument/2006/relationships/hyperlink" Target="https://en.wikipedia.org/wiki/Category:Global_politics" TargetMode="External"/><Relationship Id="rId33" Type="http://schemas.openxmlformats.org/officeDocument/2006/relationships/hyperlink" Target="https://en.wikipedia.org/wiki/Category:Psychology" TargetMode="External"/><Relationship Id="rId32" Type="http://schemas.openxmlformats.org/officeDocument/2006/relationships/hyperlink" Target="https://en.wikipedia.org/wiki/Category:Science" TargetMode="External"/><Relationship Id="rId35" Type="http://schemas.openxmlformats.org/officeDocument/2006/relationships/hyperlink" Target="https://en.wikipedia.org/wiki/Category:Statistics" TargetMode="External"/><Relationship Id="rId34" Type="http://schemas.openxmlformats.org/officeDocument/2006/relationships/hyperlink" Target="https://en.wikipedia.org/wiki/Category:Philosophy" TargetMode="External"/><Relationship Id="rId37" Type="http://schemas.openxmlformats.org/officeDocument/2006/relationships/hyperlink" Target="https://en.wikipedia.org/wiki/Category:Cars" TargetMode="External"/><Relationship Id="rId36" Type="http://schemas.openxmlformats.org/officeDocument/2006/relationships/hyperlink" Target="https://en.wikipedia.org/wiki/Category:Software_engineering" TargetMode="External"/><Relationship Id="rId39" Type="http://schemas.openxmlformats.org/officeDocument/2006/relationships/hyperlink" Target="https://en.wikipedia.org/wiki/Category:Advertising" TargetMode="External"/><Relationship Id="rId38" Type="http://schemas.openxmlformats.org/officeDocument/2006/relationships/hyperlink" Target="https://en.wikipedia.org/wiki/Category:Marketing" TargetMode="External"/><Relationship Id="rId20" Type="http://schemas.openxmlformats.org/officeDocument/2006/relationships/hyperlink" Target="https://en.wikipedia.org/wiki/Category:History" TargetMode="External"/><Relationship Id="rId22" Type="http://schemas.openxmlformats.org/officeDocument/2006/relationships/hyperlink" Target="https://en.wikipedia.org/wiki/Category:Politics" TargetMode="External"/><Relationship Id="rId21" Type="http://schemas.openxmlformats.org/officeDocument/2006/relationships/hyperlink" Target="https://en.wikipedia.org/wiki/Category:Geography" TargetMode="External"/><Relationship Id="rId24" Type="http://schemas.openxmlformats.org/officeDocument/2006/relationships/hyperlink" Target="https://en.wikipedia.org/wiki/Category:Culture" TargetMode="External"/><Relationship Id="rId23" Type="http://schemas.openxmlformats.org/officeDocument/2006/relationships/hyperlink" Target="https://en.wikipedia.org/wiki/Category:Government" TargetMode="External"/><Relationship Id="rId26" Type="http://schemas.openxmlformats.org/officeDocument/2006/relationships/hyperlink" Target="https://en.wikipedia.org/wiki/Category:Health" TargetMode="External"/><Relationship Id="rId25" Type="http://schemas.openxmlformats.org/officeDocument/2006/relationships/hyperlink" Target="https://en.wikipedia.org/wiki/Category:Language" TargetMode="External"/><Relationship Id="rId28" Type="http://schemas.openxmlformats.org/officeDocument/2006/relationships/hyperlink" Target="https://en.wikipedia.org/wiki/Category:Universe" TargetMode="External"/><Relationship Id="rId27" Type="http://schemas.openxmlformats.org/officeDocument/2006/relationships/hyperlink" Target="https://en.wikipedia.org/wiki/Category:Music" TargetMode="External"/><Relationship Id="rId29" Type="http://schemas.openxmlformats.org/officeDocument/2006/relationships/hyperlink" Target="https://en.wikipedia.org/wiki/Category:Technology" TargetMode="External"/><Relationship Id="rId11" Type="http://schemas.openxmlformats.org/officeDocument/2006/relationships/hyperlink" Target="https://en.wikipedia.org/wiki/Category:Environments" TargetMode="External"/><Relationship Id="rId10" Type="http://schemas.openxmlformats.org/officeDocument/2006/relationships/hyperlink" Target="https://en.wikipedia.org/wiki/Category:Design" TargetMode="External"/><Relationship Id="rId13" Type="http://schemas.openxmlformats.org/officeDocument/2006/relationships/hyperlink" Target="https://en.wikipedia.org/wiki/Category:Clothing" TargetMode="External"/><Relationship Id="rId12" Type="http://schemas.openxmlformats.org/officeDocument/2006/relationships/hyperlink" Target="https://en.wikipedia.org/wiki/Category:Global_environmental_issues" TargetMode="External"/><Relationship Id="rId15" Type="http://schemas.openxmlformats.org/officeDocument/2006/relationships/hyperlink" Target="https://en.wikipedia.org/wiki/Category:Film" TargetMode="External"/><Relationship Id="rId14" Type="http://schemas.openxmlformats.org/officeDocument/2006/relationships/hyperlink" Target="https://en.wikipedia.org/wiki/Category:Fashion" TargetMode="External"/><Relationship Id="rId17" Type="http://schemas.openxmlformats.org/officeDocument/2006/relationships/hyperlink" Target="https://en.wikipedia.org/wiki/Category:International_taxation" TargetMode="External"/><Relationship Id="rId16" Type="http://schemas.openxmlformats.org/officeDocument/2006/relationships/hyperlink" Target="https://en.wikipedia.org/wiki/Category:Economy" TargetMode="External"/><Relationship Id="rId19" Type="http://schemas.openxmlformats.org/officeDocument/2006/relationships/hyperlink" Target="https://en.wikipedia.org/wiki/Category:Gaming" TargetMode="External"/><Relationship Id="rId18" Type="http://schemas.openxmlformats.org/officeDocument/2006/relationships/hyperlink" Target="https://en.wikipedia.org/wiki/Category:Food_and_drink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ytimes.com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kill-the-newsletter.com/feeds/qbh4c2lm1i04r8h5.xml" TargetMode="External"/><Relationship Id="rId2" Type="http://schemas.openxmlformats.org/officeDocument/2006/relationships/hyperlink" Target="https://kill-the-newsletter.com/feeds/qbh4c2lm1i04r8h5.xml" TargetMode="External"/><Relationship Id="rId3" Type="http://schemas.openxmlformats.org/officeDocument/2006/relationships/hyperlink" Target="https://kill-the-newsletter.com/feeds/qkwuqromrjheulk9.xml" TargetMode="External"/><Relationship Id="rId4" Type="http://schemas.openxmlformats.org/officeDocument/2006/relationships/hyperlink" Target="https://kill-the-newsletter.com/feeds/rj24j7yf46u78sei.xml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Col="1"/>
  <cols>
    <col customWidth="1" min="1" max="1" width="2.63"/>
    <col customWidth="1" min="2" max="2" width="25.13"/>
    <col customWidth="1" min="3" max="6" width="15.13"/>
    <col collapsed="1" customWidth="1" min="7" max="7" width="15.13"/>
    <col customWidth="1" hidden="1" min="8" max="8" width="40.75" outlineLevel="1"/>
    <col customWidth="1" hidden="1" min="9" max="9" width="37.75" outlineLevel="1"/>
    <col collapsed="1" customWidth="1" min="10" max="10" width="23.5"/>
    <col customWidth="1" hidden="1" min="11" max="12" width="15.13" outlineLevel="1"/>
    <col customWidth="1" hidden="1" min="13" max="13" width="37.63" outlineLevel="1"/>
    <col customWidth="1" min="14" max="15" width="15.13"/>
    <col customWidth="1" min="16" max="18" width="10.13"/>
    <col customWidth="1" min="19" max="20" width="15.13"/>
  </cols>
  <sheetData>
    <row r="1">
      <c r="C1" s="1"/>
      <c r="D1" s="1"/>
      <c r="E1" s="1"/>
      <c r="F1" s="1"/>
      <c r="G1" s="1"/>
      <c r="M1" s="1"/>
    </row>
    <row r="2"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5" t="s">
        <v>11</v>
      </c>
      <c r="N2" s="4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/>
    </row>
    <row r="3">
      <c r="B3" s="6" t="s">
        <v>19</v>
      </c>
      <c r="C3" s="7" t="str">
        <f t="shared" ref="C3:C688" si="1">iferror(LEFT(B3,FIND("-",B3) - 2),"")</f>
        <v/>
      </c>
      <c r="D3" s="7" t="s">
        <v>20</v>
      </c>
      <c r="E3" s="7"/>
      <c r="F3" s="8" t="s">
        <v>21</v>
      </c>
      <c r="G3" s="8" t="s">
        <v>22</v>
      </c>
      <c r="H3" s="9" t="str">
        <f>LEFT(G3, LEN(G3)-1)</f>
        <v>https://1000wordphilosophy.com</v>
      </c>
      <c r="I3" s="9" t="str">
        <f>IFERROR(__xludf.DUMMYFUNCTION("IF(REGEXMATCH(H3,""www""),RIGHT(H3,LEN(H3)-FIND(""."",H3)+0),if(regexmatch(H3,""https://""),right(H3,len(H3)-find(""/"",H3)-1),H3))"),"1000wordphilosophy.com")</f>
        <v>1000wordphilosophy.com</v>
      </c>
      <c r="J3" s="9" t="str">
        <f>I3</f>
        <v>1000wordphilosophy.com</v>
      </c>
      <c r="K3" s="9" t="s">
        <v>23</v>
      </c>
      <c r="L3" s="6" t="s">
        <v>24</v>
      </c>
      <c r="M3" s="8" t="str">
        <f>K3&amp;J3&amp;L3</f>
        <v>https://newsapi.org/v2/everything?domains=1000wordphilosophy.com&amp;apiKey=ae2ad3e68d4e4daca149bbfb9b61c010</v>
      </c>
      <c r="N3" s="6">
        <v>0.0</v>
      </c>
      <c r="O3" s="6" t="s">
        <v>25</v>
      </c>
      <c r="P3" s="6"/>
      <c r="Q3" s="6">
        <v>1.0</v>
      </c>
      <c r="R3" s="6" t="s">
        <v>26</v>
      </c>
      <c r="S3" s="6" t="s">
        <v>27</v>
      </c>
      <c r="T3" s="6" t="s">
        <v>28</v>
      </c>
    </row>
    <row r="4">
      <c r="B4" s="6" t="s">
        <v>29</v>
      </c>
      <c r="C4" s="7" t="str">
        <f t="shared" si="1"/>
        <v>6am group</v>
      </c>
      <c r="D4" s="7" t="s">
        <v>30</v>
      </c>
      <c r="E4" s="7"/>
      <c r="F4" s="8" t="s">
        <v>31</v>
      </c>
      <c r="G4" s="7"/>
      <c r="H4" s="10"/>
      <c r="I4" s="10"/>
      <c r="J4" s="10"/>
      <c r="K4" s="10"/>
      <c r="L4" s="6"/>
      <c r="M4" s="7"/>
      <c r="N4" s="6">
        <v>1.0</v>
      </c>
      <c r="O4" s="6" t="s">
        <v>25</v>
      </c>
      <c r="P4" s="6"/>
      <c r="Q4" s="6">
        <v>1.0</v>
      </c>
      <c r="R4" s="6" t="s">
        <v>26</v>
      </c>
      <c r="S4" s="6" t="s">
        <v>27</v>
      </c>
      <c r="T4" s="6" t="s">
        <v>32</v>
      </c>
    </row>
    <row r="5">
      <c r="B5" s="6" t="s">
        <v>33</v>
      </c>
      <c r="C5" s="7" t="str">
        <f t="shared" si="1"/>
        <v>6am group</v>
      </c>
      <c r="D5" s="7" t="s">
        <v>30</v>
      </c>
      <c r="E5" s="7"/>
      <c r="F5" s="8" t="s">
        <v>34</v>
      </c>
      <c r="G5" s="8" t="s">
        <v>35</v>
      </c>
      <c r="H5" s="9" t="str">
        <f t="shared" ref="H5:H6" si="2">LEFT(G5, LEN(G5)-1)</f>
        <v>https://www.6amgroup.com</v>
      </c>
      <c r="I5" s="9" t="str">
        <f>IFERROR(__xludf.DUMMYFUNCTION("IF(REGEXMATCH(H5,""www""),RIGHT(H5,LEN(H5)-FIND(""."",H5)+0),if(regexmatch(H5,""https://""),right(H5,len(H5)-find(""/"",H5)-1),H5))"),"6amgroup.com")</f>
        <v>6amgroup.com</v>
      </c>
      <c r="J5" s="9" t="str">
        <f t="shared" ref="J5:J6" si="3">I5</f>
        <v>6amgroup.com</v>
      </c>
      <c r="K5" s="9" t="s">
        <v>23</v>
      </c>
      <c r="L5" s="6" t="s">
        <v>24</v>
      </c>
      <c r="M5" s="8" t="str">
        <f t="shared" ref="M5:M6" si="4">K5&amp;J5&amp;L5</f>
        <v>https://newsapi.org/v2/everything?domains=6amgroup.com&amp;apiKey=ae2ad3e68d4e4daca149bbfb9b61c010</v>
      </c>
      <c r="N5" s="6">
        <v>1.0</v>
      </c>
      <c r="O5" s="6" t="s">
        <v>25</v>
      </c>
      <c r="P5" s="6"/>
      <c r="Q5" s="6">
        <v>1.0</v>
      </c>
      <c r="R5" s="6" t="s">
        <v>26</v>
      </c>
      <c r="S5" s="6" t="s">
        <v>27</v>
      </c>
      <c r="T5" s="6" t="s">
        <v>32</v>
      </c>
    </row>
    <row r="6">
      <c r="B6" s="6" t="s">
        <v>36</v>
      </c>
      <c r="C6" s="7" t="str">
        <f t="shared" si="1"/>
        <v/>
      </c>
      <c r="D6" s="7" t="s">
        <v>20</v>
      </c>
      <c r="E6" s="7"/>
      <c r="F6" s="8" t="s">
        <v>37</v>
      </c>
      <c r="G6" s="8" t="s">
        <v>38</v>
      </c>
      <c r="H6" s="9" t="str">
        <f t="shared" si="2"/>
        <v>https://alistapart.com</v>
      </c>
      <c r="I6" s="9" t="str">
        <f>IFERROR(__xludf.DUMMYFUNCTION("IF(REGEXMATCH(H6,""www""),RIGHT(H6,LEN(H6)-FIND(""."",H6)+0),if(regexmatch(H6,""https://""),right(H6,len(H6)-find(""/"",H6)-1),H6))"),"alistapart.com")</f>
        <v>alistapart.com</v>
      </c>
      <c r="J6" s="9" t="str">
        <f t="shared" si="3"/>
        <v>alistapart.com</v>
      </c>
      <c r="K6" s="9" t="s">
        <v>23</v>
      </c>
      <c r="L6" s="6" t="s">
        <v>24</v>
      </c>
      <c r="M6" s="8" t="str">
        <f t="shared" si="4"/>
        <v>https://newsapi.org/v2/everything?domains=alistapart.com&amp;apiKey=ae2ad3e68d4e4daca149bbfb9b61c010</v>
      </c>
      <c r="N6" s="6">
        <v>0.0</v>
      </c>
      <c r="O6" s="6" t="s">
        <v>39</v>
      </c>
      <c r="P6" s="6"/>
      <c r="Q6" s="6">
        <v>1.0</v>
      </c>
      <c r="R6" s="6" t="s">
        <v>26</v>
      </c>
      <c r="S6" s="6" t="s">
        <v>27</v>
      </c>
      <c r="T6" s="6" t="s">
        <v>40</v>
      </c>
    </row>
    <row r="7">
      <c r="B7" s="6" t="s">
        <v>41</v>
      </c>
      <c r="C7" s="7" t="str">
        <f t="shared" si="1"/>
        <v/>
      </c>
      <c r="D7" s="7" t="s">
        <v>20</v>
      </c>
      <c r="E7" s="1"/>
      <c r="F7" s="11" t="s">
        <v>42</v>
      </c>
      <c r="G7" s="1"/>
      <c r="M7" s="1"/>
      <c r="N7" s="6">
        <v>0.0</v>
      </c>
      <c r="O7" s="6" t="s">
        <v>43</v>
      </c>
      <c r="P7" s="6"/>
      <c r="Q7" s="6">
        <v>1.0</v>
      </c>
      <c r="R7" s="6" t="s">
        <v>26</v>
      </c>
      <c r="S7" s="6" t="s">
        <v>27</v>
      </c>
      <c r="T7" s="6" t="s">
        <v>44</v>
      </c>
    </row>
    <row r="8">
      <c r="B8" s="6" t="s">
        <v>45</v>
      </c>
      <c r="C8" s="7" t="str">
        <f t="shared" si="1"/>
        <v/>
      </c>
      <c r="D8" s="7" t="s">
        <v>20</v>
      </c>
      <c r="E8" s="7"/>
      <c r="F8" s="8" t="s">
        <v>46</v>
      </c>
      <c r="G8" s="8" t="s">
        <v>47</v>
      </c>
      <c r="H8" s="9" t="str">
        <f t="shared" ref="H8:H10" si="5">LEFT(G8, LEN(G8)-1)</f>
        <v>https://blog.asmartbear.com</v>
      </c>
      <c r="I8" s="9" t="str">
        <f>IFERROR(__xludf.DUMMYFUNCTION("IF(REGEXMATCH(H8,""www""),RIGHT(H8,LEN(H8)-FIND(""."",H8)+0),if(regexmatch(H8,""https://""),right(H8,len(H8)-find(""/"",H8)-1),H8))"),"blog.asmartbear.com")</f>
        <v>blog.asmartbear.com</v>
      </c>
      <c r="J8" s="9" t="str">
        <f t="shared" ref="J8:J10" si="6">I8</f>
        <v>blog.asmartbear.com</v>
      </c>
      <c r="K8" s="9" t="s">
        <v>23</v>
      </c>
      <c r="L8" s="6" t="s">
        <v>24</v>
      </c>
      <c r="M8" s="8" t="str">
        <f t="shared" ref="M8:M10" si="7">K8&amp;J8&amp;L8</f>
        <v>https://newsapi.org/v2/everything?domains=blog.asmartbear.com&amp;apiKey=ae2ad3e68d4e4daca149bbfb9b61c010</v>
      </c>
      <c r="N8" s="6">
        <v>0.0</v>
      </c>
      <c r="O8" s="6" t="s">
        <v>39</v>
      </c>
      <c r="P8" s="6"/>
      <c r="Q8" s="6">
        <v>1.0</v>
      </c>
      <c r="R8" s="6" t="s">
        <v>26</v>
      </c>
      <c r="S8" s="6" t="s">
        <v>27</v>
      </c>
      <c r="T8" s="6" t="s">
        <v>48</v>
      </c>
    </row>
    <row r="9">
      <c r="B9" s="6" t="s">
        <v>49</v>
      </c>
      <c r="C9" s="7" t="str">
        <f t="shared" si="1"/>
        <v/>
      </c>
      <c r="D9" s="7" t="s">
        <v>50</v>
      </c>
      <c r="E9" s="7">
        <v>50.0</v>
      </c>
      <c r="F9" s="7"/>
      <c r="G9" s="8" t="s">
        <v>51</v>
      </c>
      <c r="H9" s="9" t="str">
        <f t="shared" si="5"/>
        <v>https://abduzeedo.com</v>
      </c>
      <c r="I9" s="9" t="str">
        <f>IFERROR(__xludf.DUMMYFUNCTION("IF(REGEXMATCH(H9,""www""),RIGHT(H9,LEN(H9)-FIND(""."",H9)+0),if(regexmatch(H9,""https://""),right(H9,len(H9)-find(""/"",H9)-1),H9))"),"abduzeedo.com")</f>
        <v>abduzeedo.com</v>
      </c>
      <c r="J9" s="9" t="str">
        <f t="shared" si="6"/>
        <v>abduzeedo.com</v>
      </c>
      <c r="K9" s="9" t="s">
        <v>23</v>
      </c>
      <c r="L9" s="6" t="s">
        <v>24</v>
      </c>
      <c r="M9" s="8" t="str">
        <f t="shared" si="7"/>
        <v>https://newsapi.org/v2/everything?domains=abduzeedo.com&amp;apiKey=ae2ad3e68d4e4daca149bbfb9b61c010</v>
      </c>
      <c r="N9" s="6">
        <v>0.0</v>
      </c>
      <c r="O9" s="6" t="s">
        <v>25</v>
      </c>
      <c r="P9" s="6"/>
      <c r="Q9" s="6">
        <v>1.0</v>
      </c>
      <c r="R9" s="6" t="s">
        <v>26</v>
      </c>
      <c r="S9" s="6" t="s">
        <v>27</v>
      </c>
      <c r="T9" s="6" t="s">
        <v>52</v>
      </c>
    </row>
    <row r="10">
      <c r="B10" s="6" t="s">
        <v>53</v>
      </c>
      <c r="C10" s="7" t="str">
        <f t="shared" si="1"/>
        <v/>
      </c>
      <c r="D10" s="7" t="s">
        <v>20</v>
      </c>
      <c r="E10" s="7"/>
      <c r="F10" s="8" t="s">
        <v>54</v>
      </c>
      <c r="G10" s="8" t="s">
        <v>55</v>
      </c>
      <c r="H10" s="9" t="str">
        <f t="shared" si="5"/>
        <v>https://acoup.blog</v>
      </c>
      <c r="I10" s="10" t="str">
        <f>IFERROR(__xludf.DUMMYFUNCTION("IF(REGEXMATCH(H10,""www""),RIGHT(H10,LEN(H10)-FIND(""."",H10)+0),if(regexmatch(H10,""https://""),right(H10,len(H10)-find(""/"",H10)-1),H10))"),"acoup.blog")</f>
        <v>acoup.blog</v>
      </c>
      <c r="J10" s="10" t="str">
        <f t="shared" si="6"/>
        <v>acoup.blog</v>
      </c>
      <c r="K10" s="9" t="s">
        <v>23</v>
      </c>
      <c r="L10" s="6" t="s">
        <v>24</v>
      </c>
      <c r="M10" s="8" t="str">
        <f t="shared" si="7"/>
        <v>https://newsapi.org/v2/everything?domains=acoup.blog&amp;apiKey=ae2ad3e68d4e4daca149bbfb9b61c010</v>
      </c>
      <c r="N10" s="6">
        <v>0.0</v>
      </c>
      <c r="O10" s="6" t="s">
        <v>39</v>
      </c>
      <c r="P10" s="6"/>
      <c r="Q10" s="6">
        <v>1.0</v>
      </c>
      <c r="R10" s="6" t="s">
        <v>26</v>
      </c>
      <c r="S10" s="6" t="s">
        <v>27</v>
      </c>
      <c r="T10" s="6" t="s">
        <v>56</v>
      </c>
    </row>
    <row r="11">
      <c r="B11" s="6" t="s">
        <v>57</v>
      </c>
      <c r="C11" s="7" t="str">
        <f t="shared" si="1"/>
        <v/>
      </c>
      <c r="D11" s="7" t="s">
        <v>20</v>
      </c>
      <c r="E11" s="1"/>
      <c r="F11" s="11" t="s">
        <v>58</v>
      </c>
      <c r="G11" s="1"/>
      <c r="M11" s="1"/>
      <c r="N11" s="6">
        <v>0.0</v>
      </c>
      <c r="O11" s="6" t="s">
        <v>43</v>
      </c>
      <c r="P11" s="6"/>
      <c r="Q11" s="6">
        <v>1.0</v>
      </c>
      <c r="R11" s="6" t="s">
        <v>26</v>
      </c>
      <c r="S11" s="6" t="s">
        <v>27</v>
      </c>
      <c r="T11" s="6" t="s">
        <v>40</v>
      </c>
    </row>
    <row r="12">
      <c r="B12" s="6" t="s">
        <v>59</v>
      </c>
      <c r="C12" s="7" t="str">
        <f t="shared" si="1"/>
        <v>Aeon</v>
      </c>
      <c r="D12" s="12" t="s">
        <v>30</v>
      </c>
      <c r="E12" s="12"/>
      <c r="F12" s="11" t="s">
        <v>60</v>
      </c>
      <c r="G12" s="12"/>
      <c r="H12" s="10"/>
      <c r="I12" s="10"/>
      <c r="J12" s="10"/>
      <c r="K12" s="10"/>
      <c r="L12" s="6"/>
      <c r="M12" s="7"/>
      <c r="N12" s="6">
        <v>0.0</v>
      </c>
      <c r="O12" s="6" t="s">
        <v>25</v>
      </c>
      <c r="P12" s="6"/>
      <c r="Q12" s="6">
        <v>1.0</v>
      </c>
      <c r="R12" s="6" t="s">
        <v>26</v>
      </c>
      <c r="S12" s="6" t="s">
        <v>27</v>
      </c>
      <c r="T12" s="6" t="s">
        <v>61</v>
      </c>
    </row>
    <row r="13">
      <c r="B13" s="6" t="s">
        <v>62</v>
      </c>
      <c r="C13" s="7" t="str">
        <f t="shared" si="1"/>
        <v>Aeon</v>
      </c>
      <c r="D13" s="12" t="s">
        <v>30</v>
      </c>
      <c r="E13" s="12"/>
      <c r="F13" s="11" t="s">
        <v>63</v>
      </c>
      <c r="G13" s="12"/>
      <c r="H13" s="10"/>
      <c r="I13" s="10"/>
      <c r="J13" s="10"/>
      <c r="K13" s="10"/>
      <c r="M13" s="7"/>
      <c r="N13" s="6">
        <v>0.0</v>
      </c>
      <c r="O13" s="6" t="s">
        <v>25</v>
      </c>
      <c r="P13" s="6"/>
      <c r="Q13" s="6">
        <v>1.0</v>
      </c>
      <c r="R13" s="6" t="s">
        <v>26</v>
      </c>
      <c r="S13" s="6" t="s">
        <v>27</v>
      </c>
      <c r="T13" s="6" t="s">
        <v>64</v>
      </c>
    </row>
    <row r="14">
      <c r="B14" s="6" t="s">
        <v>65</v>
      </c>
      <c r="C14" s="7" t="str">
        <f t="shared" si="1"/>
        <v>Aeon</v>
      </c>
      <c r="D14" s="12" t="s">
        <v>30</v>
      </c>
      <c r="E14" s="12"/>
      <c r="F14" s="11" t="s">
        <v>66</v>
      </c>
      <c r="G14" s="12"/>
      <c r="H14" s="10"/>
      <c r="I14" s="10"/>
      <c r="J14" s="10"/>
      <c r="K14" s="10"/>
      <c r="L14" s="6"/>
      <c r="M14" s="7"/>
      <c r="N14" s="6">
        <v>0.0</v>
      </c>
      <c r="O14" s="6" t="s">
        <v>25</v>
      </c>
      <c r="P14" s="6"/>
      <c r="Q14" s="6">
        <v>1.0</v>
      </c>
      <c r="R14" s="6" t="s">
        <v>26</v>
      </c>
      <c r="S14" s="6" t="s">
        <v>27</v>
      </c>
      <c r="T14" s="6" t="s">
        <v>67</v>
      </c>
    </row>
    <row r="15">
      <c r="B15" s="6" t="s">
        <v>68</v>
      </c>
      <c r="C15" s="7" t="str">
        <f t="shared" si="1"/>
        <v>Aeon</v>
      </c>
      <c r="D15" s="12" t="s">
        <v>30</v>
      </c>
      <c r="E15" s="12"/>
      <c r="F15" s="11" t="s">
        <v>69</v>
      </c>
      <c r="G15" s="12"/>
      <c r="H15" s="10"/>
      <c r="I15" s="10"/>
      <c r="J15" s="10"/>
      <c r="K15" s="10"/>
      <c r="L15" s="6"/>
      <c r="M15" s="7"/>
      <c r="N15" s="6">
        <v>0.0</v>
      </c>
      <c r="O15" s="6" t="s">
        <v>25</v>
      </c>
      <c r="P15" s="6"/>
      <c r="Q15" s="6">
        <v>1.0</v>
      </c>
      <c r="R15" s="6" t="s">
        <v>26</v>
      </c>
      <c r="S15" s="6" t="s">
        <v>27</v>
      </c>
      <c r="T15" s="6" t="s">
        <v>70</v>
      </c>
    </row>
    <row r="16">
      <c r="B16" s="6" t="s">
        <v>71</v>
      </c>
      <c r="C16" s="7" t="str">
        <f t="shared" si="1"/>
        <v>Aeon</v>
      </c>
      <c r="D16" s="12" t="s">
        <v>30</v>
      </c>
      <c r="E16" s="12"/>
      <c r="F16" s="11" t="s">
        <v>72</v>
      </c>
      <c r="G16" s="12"/>
      <c r="H16" s="10"/>
      <c r="I16" s="10"/>
      <c r="J16" s="10"/>
      <c r="K16" s="10"/>
      <c r="M16" s="7"/>
      <c r="N16" s="6">
        <v>0.0</v>
      </c>
      <c r="O16" s="6" t="s">
        <v>25</v>
      </c>
      <c r="P16" s="6"/>
      <c r="Q16" s="6">
        <v>1.0</v>
      </c>
      <c r="R16" s="6" t="s">
        <v>26</v>
      </c>
      <c r="S16" s="6" t="s">
        <v>27</v>
      </c>
      <c r="T16" s="6" t="s">
        <v>73</v>
      </c>
    </row>
    <row r="17">
      <c r="B17" s="6" t="s">
        <v>74</v>
      </c>
      <c r="C17" s="7" t="str">
        <f t="shared" si="1"/>
        <v>Aeon</v>
      </c>
      <c r="D17" s="12" t="s">
        <v>30</v>
      </c>
      <c r="E17" s="12"/>
      <c r="F17" s="11" t="s">
        <v>75</v>
      </c>
      <c r="G17" s="12"/>
      <c r="H17" s="10"/>
      <c r="I17" s="10"/>
      <c r="J17" s="10"/>
      <c r="K17" s="10"/>
      <c r="M17" s="7"/>
      <c r="N17" s="6">
        <v>0.0</v>
      </c>
      <c r="O17" s="6" t="s">
        <v>25</v>
      </c>
      <c r="P17" s="6"/>
      <c r="Q17" s="6">
        <v>1.0</v>
      </c>
      <c r="R17" s="6" t="s">
        <v>26</v>
      </c>
      <c r="S17" s="6" t="s">
        <v>27</v>
      </c>
      <c r="T17" s="6" t="s">
        <v>76</v>
      </c>
    </row>
    <row r="18">
      <c r="B18" s="6" t="s">
        <v>77</v>
      </c>
      <c r="C18" s="7" t="str">
        <f t="shared" si="1"/>
        <v>Aeon</v>
      </c>
      <c r="D18" s="12" t="s">
        <v>30</v>
      </c>
      <c r="E18" s="12"/>
      <c r="F18" s="11" t="s">
        <v>78</v>
      </c>
      <c r="G18" s="12"/>
      <c r="H18" s="10"/>
      <c r="I18" s="10"/>
      <c r="J18" s="10"/>
      <c r="K18" s="10"/>
      <c r="L18" s="6"/>
      <c r="M18" s="7"/>
      <c r="N18" s="6">
        <v>0.0</v>
      </c>
      <c r="O18" s="6" t="s">
        <v>25</v>
      </c>
      <c r="P18" s="6"/>
      <c r="Q18" s="6">
        <v>1.0</v>
      </c>
      <c r="R18" s="6" t="s">
        <v>26</v>
      </c>
      <c r="S18" s="6" t="s">
        <v>27</v>
      </c>
      <c r="T18" s="6" t="s">
        <v>64</v>
      </c>
    </row>
    <row r="19">
      <c r="B19" s="6" t="s">
        <v>79</v>
      </c>
      <c r="C19" s="7" t="str">
        <f t="shared" si="1"/>
        <v>Aeon</v>
      </c>
      <c r="D19" s="12" t="s">
        <v>30</v>
      </c>
      <c r="E19" s="12"/>
      <c r="F19" s="11" t="s">
        <v>80</v>
      </c>
      <c r="G19" s="12"/>
      <c r="H19" s="10"/>
      <c r="I19" s="10"/>
      <c r="J19" s="10"/>
      <c r="K19" s="10"/>
      <c r="L19" s="6"/>
      <c r="M19" s="7"/>
      <c r="N19" s="6">
        <v>0.0</v>
      </c>
      <c r="O19" s="6" t="s">
        <v>25</v>
      </c>
      <c r="P19" s="6"/>
      <c r="Q19" s="6">
        <v>1.0</v>
      </c>
      <c r="R19" s="6" t="s">
        <v>26</v>
      </c>
      <c r="S19" s="6" t="s">
        <v>27</v>
      </c>
      <c r="T19" s="6" t="s">
        <v>67</v>
      </c>
    </row>
    <row r="20">
      <c r="B20" s="6" t="s">
        <v>81</v>
      </c>
      <c r="C20" s="7" t="str">
        <f t="shared" si="1"/>
        <v>Aeon</v>
      </c>
      <c r="D20" s="12" t="s">
        <v>30</v>
      </c>
      <c r="E20" s="12"/>
      <c r="F20" s="11" t="s">
        <v>82</v>
      </c>
      <c r="G20" s="12"/>
      <c r="H20" s="10"/>
      <c r="I20" s="10"/>
      <c r="J20" s="10"/>
      <c r="K20" s="10"/>
      <c r="L20" s="6"/>
      <c r="M20" s="7"/>
      <c r="N20" s="6">
        <v>0.0</v>
      </c>
      <c r="O20" s="6" t="s">
        <v>25</v>
      </c>
      <c r="P20" s="6"/>
      <c r="Q20" s="6">
        <v>1.0</v>
      </c>
      <c r="R20" s="6" t="s">
        <v>26</v>
      </c>
      <c r="S20" s="6" t="s">
        <v>27</v>
      </c>
      <c r="T20" s="6" t="s">
        <v>52</v>
      </c>
    </row>
    <row r="21">
      <c r="B21" s="6" t="s">
        <v>83</v>
      </c>
      <c r="C21" s="7" t="str">
        <f t="shared" si="1"/>
        <v>Aeon</v>
      </c>
      <c r="D21" s="12" t="s">
        <v>30</v>
      </c>
      <c r="E21" s="12"/>
      <c r="F21" s="11" t="s">
        <v>84</v>
      </c>
      <c r="G21" s="12"/>
      <c r="H21" s="10"/>
      <c r="I21" s="10"/>
      <c r="J21" s="10"/>
      <c r="K21" s="10"/>
      <c r="M21" s="7"/>
      <c r="N21" s="6">
        <v>0.0</v>
      </c>
      <c r="O21" s="6" t="s">
        <v>25</v>
      </c>
      <c r="P21" s="6"/>
      <c r="Q21" s="6">
        <v>1.0</v>
      </c>
      <c r="R21" s="6" t="s">
        <v>26</v>
      </c>
      <c r="S21" s="6" t="s">
        <v>27</v>
      </c>
      <c r="T21" s="6" t="s">
        <v>85</v>
      </c>
    </row>
    <row r="22">
      <c r="B22" s="6" t="s">
        <v>86</v>
      </c>
      <c r="C22" s="7" t="str">
        <f t="shared" si="1"/>
        <v>Aeon</v>
      </c>
      <c r="D22" s="12" t="s">
        <v>30</v>
      </c>
      <c r="E22" s="12"/>
      <c r="F22" s="11" t="s">
        <v>87</v>
      </c>
      <c r="G22" s="12"/>
      <c r="H22" s="10"/>
      <c r="I22" s="10"/>
      <c r="J22" s="10"/>
      <c r="K22" s="10"/>
      <c r="L22" s="6"/>
      <c r="M22" s="7"/>
      <c r="N22" s="6">
        <v>0.0</v>
      </c>
      <c r="O22" s="6" t="s">
        <v>25</v>
      </c>
      <c r="P22" s="6"/>
      <c r="Q22" s="6">
        <v>1.0</v>
      </c>
      <c r="R22" s="6" t="s">
        <v>26</v>
      </c>
      <c r="S22" s="6" t="s">
        <v>27</v>
      </c>
      <c r="T22" s="6" t="s">
        <v>85</v>
      </c>
    </row>
    <row r="23">
      <c r="B23" s="6" t="s">
        <v>88</v>
      </c>
      <c r="C23" s="7" t="str">
        <f t="shared" si="1"/>
        <v>Aeon</v>
      </c>
      <c r="D23" s="12" t="s">
        <v>30</v>
      </c>
      <c r="E23" s="12"/>
      <c r="F23" s="11" t="s">
        <v>89</v>
      </c>
      <c r="G23" s="12"/>
      <c r="H23" s="10"/>
      <c r="I23" s="10"/>
      <c r="J23" s="10"/>
      <c r="K23" s="10"/>
      <c r="L23" s="6"/>
      <c r="M23" s="7"/>
      <c r="N23" s="6">
        <v>0.0</v>
      </c>
      <c r="O23" s="6" t="s">
        <v>25</v>
      </c>
      <c r="P23" s="6"/>
      <c r="Q23" s="6">
        <v>1.0</v>
      </c>
      <c r="R23" s="6" t="s">
        <v>26</v>
      </c>
      <c r="S23" s="6" t="s">
        <v>27</v>
      </c>
      <c r="T23" s="6" t="s">
        <v>90</v>
      </c>
    </row>
    <row r="24">
      <c r="B24" s="6" t="s">
        <v>91</v>
      </c>
      <c r="C24" s="7" t="str">
        <f t="shared" si="1"/>
        <v>Aeon</v>
      </c>
      <c r="D24" s="12" t="s">
        <v>30</v>
      </c>
      <c r="E24" s="12"/>
      <c r="F24" s="11" t="s">
        <v>92</v>
      </c>
      <c r="G24" s="12"/>
      <c r="H24" s="10"/>
      <c r="I24" s="10"/>
      <c r="J24" s="10"/>
      <c r="K24" s="10"/>
      <c r="L24" s="6"/>
      <c r="M24" s="7"/>
      <c r="N24" s="6">
        <v>0.0</v>
      </c>
      <c r="O24" s="6" t="s">
        <v>25</v>
      </c>
      <c r="P24" s="6"/>
      <c r="Q24" s="6">
        <v>1.0</v>
      </c>
      <c r="R24" s="6" t="s">
        <v>26</v>
      </c>
      <c r="S24" s="6" t="s">
        <v>27</v>
      </c>
      <c r="T24" s="6" t="s">
        <v>44</v>
      </c>
    </row>
    <row r="25">
      <c r="B25" s="6" t="s">
        <v>93</v>
      </c>
      <c r="C25" s="7" t="str">
        <f t="shared" si="1"/>
        <v>Aeon</v>
      </c>
      <c r="D25" s="12" t="s">
        <v>30</v>
      </c>
      <c r="E25" s="12"/>
      <c r="F25" s="11" t="s">
        <v>94</v>
      </c>
      <c r="G25" s="12"/>
      <c r="H25" s="10"/>
      <c r="I25" s="10"/>
      <c r="J25" s="10"/>
      <c r="K25" s="10"/>
      <c r="L25" s="6"/>
      <c r="M25" s="7"/>
      <c r="N25" s="6">
        <v>0.0</v>
      </c>
      <c r="O25" s="6" t="s">
        <v>25</v>
      </c>
      <c r="P25" s="6"/>
      <c r="Q25" s="6">
        <v>1.0</v>
      </c>
      <c r="R25" s="6" t="s">
        <v>26</v>
      </c>
      <c r="S25" s="6" t="s">
        <v>27</v>
      </c>
      <c r="T25" s="6" t="s">
        <v>56</v>
      </c>
    </row>
    <row r="26">
      <c r="B26" s="6" t="s">
        <v>95</v>
      </c>
      <c r="C26" s="7" t="str">
        <f t="shared" si="1"/>
        <v>Aeon</v>
      </c>
      <c r="D26" s="12" t="s">
        <v>30</v>
      </c>
      <c r="E26" s="12"/>
      <c r="F26" s="11" t="s">
        <v>96</v>
      </c>
      <c r="G26" s="12"/>
      <c r="H26" s="10"/>
      <c r="I26" s="10"/>
      <c r="J26" s="10"/>
      <c r="K26" s="10"/>
      <c r="L26" s="6"/>
      <c r="M26" s="7"/>
      <c r="N26" s="6">
        <v>0.0</v>
      </c>
      <c r="O26" s="6" t="s">
        <v>25</v>
      </c>
      <c r="P26" s="6"/>
      <c r="Q26" s="6">
        <v>1.0</v>
      </c>
      <c r="R26" s="6" t="s">
        <v>26</v>
      </c>
      <c r="S26" s="6" t="s">
        <v>27</v>
      </c>
      <c r="T26" s="6" t="s">
        <v>56</v>
      </c>
    </row>
    <row r="27">
      <c r="B27" s="6" t="s">
        <v>97</v>
      </c>
      <c r="C27" s="7" t="str">
        <f t="shared" si="1"/>
        <v>Aeon</v>
      </c>
      <c r="D27" s="12" t="s">
        <v>30</v>
      </c>
      <c r="E27" s="12"/>
      <c r="F27" s="11" t="s">
        <v>98</v>
      </c>
      <c r="G27" s="12"/>
      <c r="H27" s="10"/>
      <c r="I27" s="10"/>
      <c r="J27" s="10"/>
      <c r="K27" s="10"/>
      <c r="L27" s="6"/>
      <c r="M27" s="7"/>
      <c r="N27" s="6">
        <v>0.0</v>
      </c>
      <c r="O27" s="6" t="s">
        <v>25</v>
      </c>
      <c r="P27" s="6"/>
      <c r="Q27" s="6">
        <v>1.0</v>
      </c>
      <c r="R27" s="6" t="s">
        <v>26</v>
      </c>
      <c r="S27" s="6" t="s">
        <v>27</v>
      </c>
      <c r="T27" s="6" t="s">
        <v>73</v>
      </c>
    </row>
    <row r="28">
      <c r="B28" s="6" t="s">
        <v>99</v>
      </c>
      <c r="C28" s="7" t="str">
        <f t="shared" si="1"/>
        <v>Aeon</v>
      </c>
      <c r="D28" s="12" t="s">
        <v>30</v>
      </c>
      <c r="E28" s="12"/>
      <c r="F28" s="11" t="s">
        <v>100</v>
      </c>
      <c r="G28" s="12"/>
      <c r="H28" s="10"/>
      <c r="I28" s="10"/>
      <c r="J28" s="10"/>
      <c r="K28" s="10"/>
      <c r="L28" s="6"/>
      <c r="M28" s="7"/>
      <c r="N28" s="6">
        <v>0.0</v>
      </c>
      <c r="O28" s="6" t="s">
        <v>25</v>
      </c>
      <c r="P28" s="6"/>
      <c r="Q28" s="6">
        <v>1.0</v>
      </c>
      <c r="R28" s="6" t="s">
        <v>26</v>
      </c>
      <c r="S28" s="6" t="s">
        <v>27</v>
      </c>
      <c r="T28" s="6" t="s">
        <v>101</v>
      </c>
    </row>
    <row r="29">
      <c r="B29" s="6" t="s">
        <v>102</v>
      </c>
      <c r="C29" s="7" t="str">
        <f t="shared" si="1"/>
        <v>Aeon</v>
      </c>
      <c r="D29" s="12" t="s">
        <v>30</v>
      </c>
      <c r="E29" s="12"/>
      <c r="F29" s="11" t="s">
        <v>103</v>
      </c>
      <c r="G29" s="12"/>
      <c r="H29" s="10"/>
      <c r="I29" s="10"/>
      <c r="J29" s="10"/>
      <c r="K29" s="10"/>
      <c r="L29" s="6"/>
      <c r="M29" s="7"/>
      <c r="N29" s="6">
        <v>0.0</v>
      </c>
      <c r="O29" s="6" t="s">
        <v>25</v>
      </c>
      <c r="P29" s="6"/>
      <c r="Q29" s="6">
        <v>1.0</v>
      </c>
      <c r="R29" s="6" t="s">
        <v>26</v>
      </c>
      <c r="S29" s="6" t="s">
        <v>27</v>
      </c>
      <c r="T29" s="6" t="s">
        <v>104</v>
      </c>
    </row>
    <row r="30">
      <c r="B30" s="6" t="s">
        <v>105</v>
      </c>
      <c r="C30" s="7" t="str">
        <f t="shared" si="1"/>
        <v>Aeon</v>
      </c>
      <c r="D30" s="12" t="s">
        <v>30</v>
      </c>
      <c r="E30" s="12"/>
      <c r="F30" s="11" t="s">
        <v>106</v>
      </c>
      <c r="G30" s="12"/>
      <c r="H30" s="10"/>
      <c r="I30" s="10"/>
      <c r="J30" s="10"/>
      <c r="K30" s="10"/>
      <c r="L30" s="6"/>
      <c r="M30" s="7"/>
      <c r="N30" s="6">
        <v>0.0</v>
      </c>
      <c r="O30" s="6" t="s">
        <v>25</v>
      </c>
      <c r="P30" s="6"/>
      <c r="Q30" s="6">
        <v>1.0</v>
      </c>
      <c r="R30" s="6" t="s">
        <v>26</v>
      </c>
      <c r="S30" s="6" t="s">
        <v>27</v>
      </c>
      <c r="T30" s="6" t="s">
        <v>107</v>
      </c>
    </row>
    <row r="31">
      <c r="B31" s="6" t="s">
        <v>108</v>
      </c>
      <c r="C31" s="7" t="str">
        <f t="shared" si="1"/>
        <v>Aeon</v>
      </c>
      <c r="D31" s="12" t="s">
        <v>30</v>
      </c>
      <c r="E31" s="12"/>
      <c r="F31" s="11" t="s">
        <v>109</v>
      </c>
      <c r="G31" s="12"/>
      <c r="H31" s="10"/>
      <c r="I31" s="10"/>
      <c r="J31" s="10"/>
      <c r="K31" s="10"/>
      <c r="L31" s="6"/>
      <c r="M31" s="7"/>
      <c r="N31" s="6">
        <v>0.0</v>
      </c>
      <c r="O31" s="6" t="s">
        <v>25</v>
      </c>
      <c r="P31" s="6"/>
      <c r="Q31" s="6">
        <v>1.0</v>
      </c>
      <c r="R31" s="6" t="s">
        <v>26</v>
      </c>
      <c r="S31" s="6" t="s">
        <v>27</v>
      </c>
      <c r="T31" s="6" t="s">
        <v>101</v>
      </c>
    </row>
    <row r="32">
      <c r="B32" s="6" t="s">
        <v>110</v>
      </c>
      <c r="C32" s="7" t="str">
        <f t="shared" si="1"/>
        <v>Aeon</v>
      </c>
      <c r="D32" s="12" t="s">
        <v>30</v>
      </c>
      <c r="E32" s="12"/>
      <c r="F32" s="11" t="s">
        <v>111</v>
      </c>
      <c r="G32" s="12"/>
      <c r="H32" s="10"/>
      <c r="I32" s="10"/>
      <c r="J32" s="10"/>
      <c r="K32" s="10"/>
      <c r="L32" s="6"/>
      <c r="M32" s="7"/>
      <c r="N32" s="6">
        <v>0.0</v>
      </c>
      <c r="O32" s="6" t="s">
        <v>25</v>
      </c>
      <c r="P32" s="6"/>
      <c r="Q32" s="6">
        <v>1.0</v>
      </c>
      <c r="R32" s="6" t="s">
        <v>26</v>
      </c>
      <c r="S32" s="6" t="s">
        <v>27</v>
      </c>
      <c r="T32" s="6" t="s">
        <v>101</v>
      </c>
    </row>
    <row r="33">
      <c r="B33" s="6" t="s">
        <v>112</v>
      </c>
      <c r="C33" s="7" t="str">
        <f t="shared" si="1"/>
        <v>Aeon</v>
      </c>
      <c r="D33" s="12" t="s">
        <v>30</v>
      </c>
      <c r="E33" s="12"/>
      <c r="F33" s="11" t="s">
        <v>113</v>
      </c>
      <c r="G33" s="12"/>
      <c r="H33" s="10"/>
      <c r="I33" s="10"/>
      <c r="J33" s="10"/>
      <c r="K33" s="10"/>
      <c r="L33" s="6"/>
      <c r="M33" s="7"/>
      <c r="N33" s="6">
        <v>0.0</v>
      </c>
      <c r="O33" s="6" t="s">
        <v>25</v>
      </c>
      <c r="P33" s="6"/>
      <c r="Q33" s="6">
        <v>1.0</v>
      </c>
      <c r="R33" s="6" t="s">
        <v>26</v>
      </c>
      <c r="S33" s="6" t="s">
        <v>27</v>
      </c>
      <c r="T33" s="6" t="s">
        <v>32</v>
      </c>
    </row>
    <row r="34">
      <c r="B34" s="6" t="s">
        <v>114</v>
      </c>
      <c r="C34" s="7" t="str">
        <f t="shared" si="1"/>
        <v>Aeon</v>
      </c>
      <c r="D34" s="12" t="s">
        <v>30</v>
      </c>
      <c r="E34" s="12"/>
      <c r="F34" s="11" t="s">
        <v>115</v>
      </c>
      <c r="G34" s="12"/>
      <c r="H34" s="10"/>
      <c r="I34" s="10"/>
      <c r="J34" s="10"/>
      <c r="K34" s="10"/>
      <c r="L34" s="6"/>
      <c r="M34" s="7"/>
      <c r="N34" s="6">
        <v>0.0</v>
      </c>
      <c r="O34" s="6" t="s">
        <v>25</v>
      </c>
      <c r="P34" s="6"/>
      <c r="Q34" s="6">
        <v>1.0</v>
      </c>
      <c r="R34" s="6" t="s">
        <v>26</v>
      </c>
      <c r="S34" s="6" t="s">
        <v>27</v>
      </c>
      <c r="T34" s="6" t="s">
        <v>56</v>
      </c>
    </row>
    <row r="35">
      <c r="B35" s="6" t="s">
        <v>116</v>
      </c>
      <c r="C35" s="7" t="str">
        <f t="shared" si="1"/>
        <v>Aeon</v>
      </c>
      <c r="D35" s="12" t="s">
        <v>30</v>
      </c>
      <c r="E35" s="12"/>
      <c r="F35" s="11" t="s">
        <v>117</v>
      </c>
      <c r="G35" s="12"/>
      <c r="H35" s="10"/>
      <c r="I35" s="10"/>
      <c r="J35" s="10"/>
      <c r="K35" s="10"/>
      <c r="L35" s="6"/>
      <c r="M35" s="7"/>
      <c r="N35" s="6">
        <v>0.0</v>
      </c>
      <c r="O35" s="6" t="s">
        <v>25</v>
      </c>
      <c r="P35" s="6"/>
      <c r="Q35" s="6">
        <v>1.0</v>
      </c>
      <c r="R35" s="6" t="s">
        <v>26</v>
      </c>
      <c r="S35" s="6" t="s">
        <v>27</v>
      </c>
      <c r="T35" s="6" t="s">
        <v>101</v>
      </c>
    </row>
    <row r="36">
      <c r="B36" s="6" t="s">
        <v>118</v>
      </c>
      <c r="C36" s="7" t="str">
        <f t="shared" si="1"/>
        <v>Aeon</v>
      </c>
      <c r="D36" s="12" t="s">
        <v>30</v>
      </c>
      <c r="E36" s="12"/>
      <c r="F36" s="11" t="s">
        <v>119</v>
      </c>
      <c r="G36" s="12"/>
      <c r="H36" s="10"/>
      <c r="I36" s="10"/>
      <c r="J36" s="10"/>
      <c r="K36" s="10"/>
      <c r="L36" s="6"/>
      <c r="M36" s="7"/>
      <c r="N36" s="6">
        <v>0.0</v>
      </c>
      <c r="O36" s="6" t="s">
        <v>25</v>
      </c>
      <c r="P36" s="6"/>
      <c r="Q36" s="6">
        <v>1.0</v>
      </c>
      <c r="R36" s="6" t="s">
        <v>26</v>
      </c>
      <c r="S36" s="6" t="s">
        <v>27</v>
      </c>
      <c r="T36" s="6" t="s">
        <v>85</v>
      </c>
    </row>
    <row r="37">
      <c r="B37" s="6" t="s">
        <v>120</v>
      </c>
      <c r="C37" s="7" t="str">
        <f t="shared" si="1"/>
        <v>Aeon</v>
      </c>
      <c r="D37" s="12" t="s">
        <v>30</v>
      </c>
      <c r="E37" s="12"/>
      <c r="F37" s="11" t="s">
        <v>121</v>
      </c>
      <c r="G37" s="12"/>
      <c r="H37" s="10"/>
      <c r="I37" s="10"/>
      <c r="J37" s="10"/>
      <c r="K37" s="10"/>
      <c r="L37" s="6"/>
      <c r="M37" s="7"/>
      <c r="N37" s="6">
        <v>0.0</v>
      </c>
      <c r="O37" s="6" t="s">
        <v>25</v>
      </c>
      <c r="P37" s="6"/>
      <c r="Q37" s="6">
        <v>1.0</v>
      </c>
      <c r="R37" s="6" t="s">
        <v>26</v>
      </c>
      <c r="S37" s="6" t="s">
        <v>27</v>
      </c>
      <c r="T37" s="6" t="s">
        <v>73</v>
      </c>
    </row>
    <row r="38">
      <c r="B38" s="6" t="s">
        <v>122</v>
      </c>
      <c r="C38" s="7" t="str">
        <f t="shared" si="1"/>
        <v>Aeon</v>
      </c>
      <c r="D38" s="12" t="s">
        <v>30</v>
      </c>
      <c r="E38" s="12"/>
      <c r="F38" s="11" t="s">
        <v>123</v>
      </c>
      <c r="G38" s="12"/>
      <c r="H38" s="10"/>
      <c r="I38" s="10"/>
      <c r="J38" s="10"/>
      <c r="K38" s="10"/>
      <c r="L38" s="6"/>
      <c r="M38" s="7"/>
      <c r="N38" s="6">
        <v>0.0</v>
      </c>
      <c r="O38" s="6" t="s">
        <v>25</v>
      </c>
      <c r="P38" s="6"/>
      <c r="Q38" s="6">
        <v>1.0</v>
      </c>
      <c r="R38" s="6" t="s">
        <v>26</v>
      </c>
      <c r="S38" s="6" t="s">
        <v>27</v>
      </c>
      <c r="T38" s="6" t="s">
        <v>28</v>
      </c>
    </row>
    <row r="39">
      <c r="B39" s="6" t="s">
        <v>124</v>
      </c>
      <c r="C39" s="7" t="str">
        <f t="shared" si="1"/>
        <v>Aeon</v>
      </c>
      <c r="D39" s="12" t="s">
        <v>30</v>
      </c>
      <c r="E39" s="12"/>
      <c r="F39" s="11" t="s">
        <v>125</v>
      </c>
      <c r="G39" s="12"/>
      <c r="H39" s="10"/>
      <c r="I39" s="10"/>
      <c r="J39" s="10"/>
      <c r="K39" s="10"/>
      <c r="L39" s="6"/>
      <c r="M39" s="7"/>
      <c r="N39" s="6">
        <v>0.0</v>
      </c>
      <c r="O39" s="6" t="s">
        <v>25</v>
      </c>
      <c r="P39" s="6"/>
      <c r="Q39" s="6">
        <v>1.0</v>
      </c>
      <c r="R39" s="6" t="s">
        <v>26</v>
      </c>
      <c r="S39" s="6" t="s">
        <v>27</v>
      </c>
      <c r="T39" s="6" t="s">
        <v>104</v>
      </c>
    </row>
    <row r="40">
      <c r="B40" s="6" t="s">
        <v>126</v>
      </c>
      <c r="C40" s="7" t="str">
        <f t="shared" si="1"/>
        <v>Aeon</v>
      </c>
      <c r="D40" s="12" t="s">
        <v>30</v>
      </c>
      <c r="E40" s="12"/>
      <c r="F40" s="11" t="s">
        <v>127</v>
      </c>
      <c r="G40" s="12"/>
      <c r="H40" s="10"/>
      <c r="I40" s="10"/>
      <c r="J40" s="10"/>
      <c r="K40" s="10"/>
      <c r="L40" s="6"/>
      <c r="M40" s="7"/>
      <c r="N40" s="6">
        <v>0.0</v>
      </c>
      <c r="O40" s="6" t="s">
        <v>25</v>
      </c>
      <c r="P40" s="6"/>
      <c r="Q40" s="6">
        <v>1.0</v>
      </c>
      <c r="R40" s="6" t="s">
        <v>26</v>
      </c>
      <c r="S40" s="6" t="s">
        <v>27</v>
      </c>
      <c r="T40" s="6" t="s">
        <v>128</v>
      </c>
    </row>
    <row r="41">
      <c r="B41" s="6" t="s">
        <v>129</v>
      </c>
      <c r="C41" s="7" t="str">
        <f t="shared" si="1"/>
        <v>Aeon</v>
      </c>
      <c r="D41" s="12" t="s">
        <v>30</v>
      </c>
      <c r="E41" s="12"/>
      <c r="F41" s="11" t="s">
        <v>130</v>
      </c>
      <c r="G41" s="12"/>
      <c r="H41" s="10"/>
      <c r="I41" s="10"/>
      <c r="J41" s="10"/>
      <c r="K41" s="10"/>
      <c r="L41" s="6"/>
      <c r="M41" s="7"/>
      <c r="N41" s="6">
        <v>0.0</v>
      </c>
      <c r="O41" s="6" t="s">
        <v>25</v>
      </c>
      <c r="P41" s="6"/>
      <c r="Q41" s="6">
        <v>1.0</v>
      </c>
      <c r="R41" s="6" t="s">
        <v>26</v>
      </c>
      <c r="S41" s="6" t="s">
        <v>27</v>
      </c>
      <c r="T41" s="6" t="s">
        <v>131</v>
      </c>
    </row>
    <row r="42">
      <c r="B42" s="6" t="s">
        <v>132</v>
      </c>
      <c r="C42" s="7" t="str">
        <f t="shared" si="1"/>
        <v>Aeon</v>
      </c>
      <c r="D42" s="12" t="s">
        <v>30</v>
      </c>
      <c r="E42" s="12"/>
      <c r="F42" s="11" t="s">
        <v>133</v>
      </c>
      <c r="G42" s="12"/>
      <c r="H42" s="10"/>
      <c r="I42" s="10"/>
      <c r="J42" s="10"/>
      <c r="K42" s="10"/>
      <c r="L42" s="6"/>
      <c r="M42" s="7"/>
      <c r="N42" s="6">
        <v>0.0</v>
      </c>
      <c r="O42" s="6" t="s">
        <v>25</v>
      </c>
      <c r="P42" s="6"/>
      <c r="Q42" s="6">
        <v>1.0</v>
      </c>
      <c r="R42" s="6" t="s">
        <v>26</v>
      </c>
      <c r="S42" s="6" t="s">
        <v>27</v>
      </c>
      <c r="T42" s="6" t="s">
        <v>56</v>
      </c>
    </row>
    <row r="43">
      <c r="B43" s="6" t="s">
        <v>134</v>
      </c>
      <c r="C43" s="7" t="str">
        <f t="shared" si="1"/>
        <v>Aeon</v>
      </c>
      <c r="D43" s="12" t="s">
        <v>30</v>
      </c>
      <c r="E43" s="12"/>
      <c r="F43" s="11" t="s">
        <v>135</v>
      </c>
      <c r="G43" s="12"/>
      <c r="H43" s="10"/>
      <c r="I43" s="10"/>
      <c r="J43" s="10"/>
      <c r="K43" s="10"/>
      <c r="L43" s="6"/>
      <c r="M43" s="7"/>
      <c r="N43" s="6">
        <v>0.0</v>
      </c>
      <c r="O43" s="6" t="s">
        <v>25</v>
      </c>
      <c r="P43" s="6"/>
      <c r="Q43" s="6">
        <v>1.0</v>
      </c>
      <c r="R43" s="6" t="s">
        <v>26</v>
      </c>
      <c r="S43" s="6" t="s">
        <v>27</v>
      </c>
      <c r="T43" s="6" t="s">
        <v>64</v>
      </c>
    </row>
    <row r="44">
      <c r="B44" s="6" t="s">
        <v>136</v>
      </c>
      <c r="C44" s="7" t="str">
        <f t="shared" si="1"/>
        <v>Aeon</v>
      </c>
      <c r="D44" s="12" t="s">
        <v>30</v>
      </c>
      <c r="E44" s="12"/>
      <c r="F44" s="11" t="s">
        <v>137</v>
      </c>
      <c r="G44" s="12"/>
      <c r="H44" s="10"/>
      <c r="I44" s="10"/>
      <c r="J44" s="10"/>
      <c r="K44" s="10"/>
      <c r="L44" s="6"/>
      <c r="M44" s="7"/>
      <c r="N44" s="6">
        <v>0.0</v>
      </c>
      <c r="O44" s="6" t="s">
        <v>25</v>
      </c>
      <c r="P44" s="6"/>
      <c r="Q44" s="6">
        <v>1.0</v>
      </c>
      <c r="R44" s="6" t="s">
        <v>26</v>
      </c>
      <c r="S44" s="6" t="s">
        <v>27</v>
      </c>
      <c r="T44" s="6" t="s">
        <v>28</v>
      </c>
    </row>
    <row r="45">
      <c r="B45" s="6" t="s">
        <v>138</v>
      </c>
      <c r="C45" s="7" t="str">
        <f t="shared" si="1"/>
        <v>Aeon</v>
      </c>
      <c r="D45" s="12" t="s">
        <v>30</v>
      </c>
      <c r="E45" s="12"/>
      <c r="F45" s="11" t="s">
        <v>139</v>
      </c>
      <c r="G45" s="12"/>
      <c r="H45" s="10"/>
      <c r="I45" s="10"/>
      <c r="J45" s="10"/>
      <c r="K45" s="10"/>
      <c r="L45" s="6"/>
      <c r="M45" s="7"/>
      <c r="N45" s="6">
        <v>0.0</v>
      </c>
      <c r="O45" s="6" t="s">
        <v>25</v>
      </c>
      <c r="P45" s="6"/>
      <c r="Q45" s="6">
        <v>1.0</v>
      </c>
      <c r="R45" s="6" t="s">
        <v>26</v>
      </c>
      <c r="S45" s="6" t="s">
        <v>27</v>
      </c>
      <c r="T45" s="6" t="s">
        <v>85</v>
      </c>
    </row>
    <row r="46">
      <c r="B46" s="6" t="s">
        <v>140</v>
      </c>
      <c r="C46" s="7" t="str">
        <f t="shared" si="1"/>
        <v/>
      </c>
      <c r="D46" s="7" t="s">
        <v>20</v>
      </c>
      <c r="E46" s="7"/>
      <c r="F46" s="8" t="s">
        <v>141</v>
      </c>
      <c r="G46" s="8" t="s">
        <v>142</v>
      </c>
      <c r="H46" s="9" t="str">
        <f>LEFT(G46, LEN(G46)-1)</f>
        <v>https://ageofrevolutions.com</v>
      </c>
      <c r="I46" s="9" t="str">
        <f>IFERROR(__xludf.DUMMYFUNCTION("IF(REGEXMATCH(H46,""www""),RIGHT(H46,LEN(H46)-FIND(""."",H46)+0),if(regexmatch(H46,""https://""),right(H46,len(H46)-find(""/"",H46)-1),H46))"),"ageofrevolutions.com")</f>
        <v>ageofrevolutions.com</v>
      </c>
      <c r="J46" s="9" t="str">
        <f>I46</f>
        <v>ageofrevolutions.com</v>
      </c>
      <c r="K46" s="9" t="s">
        <v>23</v>
      </c>
      <c r="L46" s="6" t="s">
        <v>24</v>
      </c>
      <c r="M46" s="8" t="str">
        <f>K46&amp;J46&amp;L46</f>
        <v>https://newsapi.org/v2/everything?domains=ageofrevolutions.com&amp;apiKey=ae2ad3e68d4e4daca149bbfb9b61c010</v>
      </c>
      <c r="N46" s="6">
        <v>0.0</v>
      </c>
      <c r="O46" s="6" t="s">
        <v>25</v>
      </c>
      <c r="P46" s="6"/>
      <c r="Q46" s="6">
        <v>1.0</v>
      </c>
      <c r="R46" s="6" t="s">
        <v>26</v>
      </c>
      <c r="S46" s="6" t="s">
        <v>27</v>
      </c>
      <c r="T46" s="6" t="s">
        <v>56</v>
      </c>
    </row>
    <row r="47">
      <c r="B47" s="6" t="s">
        <v>143</v>
      </c>
      <c r="C47" s="7" t="str">
        <f t="shared" si="1"/>
        <v/>
      </c>
      <c r="D47" s="7" t="s">
        <v>20</v>
      </c>
      <c r="E47" s="1"/>
      <c r="F47" s="8" t="s">
        <v>144</v>
      </c>
      <c r="G47" s="1"/>
      <c r="M47" s="1"/>
      <c r="N47" s="6">
        <v>0.0</v>
      </c>
      <c r="O47" s="6" t="s">
        <v>25</v>
      </c>
      <c r="P47" s="6"/>
      <c r="Q47" s="6">
        <v>1.0</v>
      </c>
      <c r="R47" s="6" t="s">
        <v>26</v>
      </c>
      <c r="S47" s="6" t="s">
        <v>27</v>
      </c>
      <c r="T47" s="6" t="s">
        <v>145</v>
      </c>
    </row>
    <row r="48">
      <c r="B48" s="6" t="s">
        <v>146</v>
      </c>
      <c r="C48" s="7" t="str">
        <f t="shared" si="1"/>
        <v/>
      </c>
      <c r="D48" s="7" t="s">
        <v>50</v>
      </c>
      <c r="E48" s="7">
        <v>13.0</v>
      </c>
      <c r="F48" s="7"/>
      <c r="G48" s="8" t="s">
        <v>147</v>
      </c>
      <c r="H48" s="9" t="str">
        <f t="shared" ref="H48:H49" si="8">LEFT(G48, LEN(G48)-1)</f>
        <v>https://www.ama-assn.org</v>
      </c>
      <c r="I48" s="9" t="str">
        <f>IFERROR(__xludf.DUMMYFUNCTION("IF(REGEXMATCH(H48,""www""),RIGHT(H48,LEN(H48)-FIND(""."",H48)+0),if(regexmatch(H48,""https://""),right(H48,len(H48)-find(""/"",H48)-1),H48))"),"ama-assn.org")</f>
        <v>ama-assn.org</v>
      </c>
      <c r="J48" s="9" t="str">
        <f t="shared" ref="J48:J49" si="9">I48</f>
        <v>ama-assn.org</v>
      </c>
      <c r="K48" s="9" t="s">
        <v>23</v>
      </c>
      <c r="L48" s="6" t="s">
        <v>24</v>
      </c>
      <c r="M48" s="8" t="str">
        <f t="shared" ref="M48:M49" si="10">K48&amp;J48&amp;L48</f>
        <v>https://newsapi.org/v2/everything?domains=ama-assn.org&amp;apiKey=ae2ad3e68d4e4daca149bbfb9b61c010</v>
      </c>
      <c r="N48" s="6">
        <v>0.0</v>
      </c>
      <c r="O48" s="6" t="s">
        <v>25</v>
      </c>
      <c r="P48" s="6"/>
      <c r="Q48" s="6">
        <v>1.0</v>
      </c>
      <c r="R48" s="6" t="s">
        <v>26</v>
      </c>
      <c r="S48" s="6" t="s">
        <v>27</v>
      </c>
      <c r="T48" s="6" t="s">
        <v>101</v>
      </c>
    </row>
    <row r="49">
      <c r="B49" s="6" t="s">
        <v>148</v>
      </c>
      <c r="C49" s="7" t="str">
        <f t="shared" si="1"/>
        <v/>
      </c>
      <c r="D49" s="7" t="s">
        <v>30</v>
      </c>
      <c r="E49" s="7"/>
      <c r="F49" s="8" t="s">
        <v>149</v>
      </c>
      <c r="G49" s="8" t="s">
        <v>150</v>
      </c>
      <c r="H49" s="9" t="str">
        <f t="shared" si="8"/>
        <v>https://www.cancer.org</v>
      </c>
      <c r="I49" s="9" t="str">
        <f>IFERROR(__xludf.DUMMYFUNCTION("IF(REGEXMATCH(H49,""www""),RIGHT(H49,LEN(H49)-FIND(""."",H49)+0),if(regexmatch(H49,""https://""),right(H49,len(H49)-find(""/"",H49)-1),H49))"),"cancer.org")</f>
        <v>cancer.org</v>
      </c>
      <c r="J49" s="9" t="str">
        <f t="shared" si="9"/>
        <v>cancer.org</v>
      </c>
      <c r="K49" s="9" t="s">
        <v>23</v>
      </c>
      <c r="L49" s="6" t="s">
        <v>24</v>
      </c>
      <c r="M49" s="8" t="str">
        <f t="shared" si="10"/>
        <v>https://newsapi.org/v2/everything?domains=cancer.org&amp;apiKey=ae2ad3e68d4e4daca149bbfb9b61c010</v>
      </c>
      <c r="N49" s="6">
        <v>0.0</v>
      </c>
      <c r="O49" s="6" t="s">
        <v>25</v>
      </c>
      <c r="P49" s="6"/>
      <c r="Q49" s="6">
        <v>1.0</v>
      </c>
      <c r="R49" s="6" t="s">
        <v>26</v>
      </c>
      <c r="S49" s="6" t="s">
        <v>27</v>
      </c>
      <c r="T49" s="6" t="s">
        <v>101</v>
      </c>
    </row>
    <row r="50">
      <c r="B50" s="6" t="s">
        <v>151</v>
      </c>
      <c r="C50" s="7" t="str">
        <f t="shared" si="1"/>
        <v/>
      </c>
      <c r="D50" s="7" t="s">
        <v>20</v>
      </c>
      <c r="E50" s="1"/>
      <c r="F50" s="8" t="s">
        <v>152</v>
      </c>
      <c r="G50" s="1"/>
      <c r="M50" s="1"/>
      <c r="N50" s="6">
        <v>0.0</v>
      </c>
      <c r="O50" s="6" t="s">
        <v>25</v>
      </c>
      <c r="P50" s="6"/>
      <c r="Q50" s="6">
        <v>1.0</v>
      </c>
      <c r="R50" s="6" t="s">
        <v>26</v>
      </c>
      <c r="S50" s="6" t="s">
        <v>27</v>
      </c>
      <c r="T50" s="6" t="s">
        <v>56</v>
      </c>
    </row>
    <row r="51">
      <c r="B51" s="6" t="s">
        <v>153</v>
      </c>
      <c r="C51" s="7" t="str">
        <f t="shared" si="1"/>
        <v/>
      </c>
      <c r="D51" s="7" t="s">
        <v>30</v>
      </c>
      <c r="E51" s="7"/>
      <c r="F51" s="8" t="s">
        <v>154</v>
      </c>
      <c r="G51" s="8" t="s">
        <v>155</v>
      </c>
      <c r="H51" s="9" t="str">
        <f t="shared" ref="H51:H54" si="11">LEFT(G51, LEN(G51)-1)</f>
        <v>https://www.apa.org/monitor</v>
      </c>
      <c r="I51" s="9" t="str">
        <f>IFERROR(__xludf.DUMMYFUNCTION("IF(REGEXMATCH(H51,""www""),RIGHT(H51,LEN(H51)-FIND(""."",H51)+0),if(regexmatch(H51,""https://""),right(H51,len(H51)-find(""/"",H51)-1),H51))"),"apa.org/monitor")</f>
        <v>apa.org/monitor</v>
      </c>
      <c r="J51" s="9" t="str">
        <f t="shared" ref="J51:J54" si="12">I51</f>
        <v>apa.org/monitor</v>
      </c>
      <c r="K51" s="9" t="s">
        <v>23</v>
      </c>
      <c r="L51" s="6" t="s">
        <v>24</v>
      </c>
      <c r="M51" s="8" t="str">
        <f t="shared" ref="M51:M54" si="13">K51&amp;J51&amp;L51</f>
        <v>https://newsapi.org/v2/everything?domains=apa.org/monitor&amp;apiKey=ae2ad3e68d4e4daca149bbfb9b61c010</v>
      </c>
      <c r="N51" s="6">
        <v>1.0</v>
      </c>
      <c r="O51" s="6" t="s">
        <v>25</v>
      </c>
      <c r="P51" s="6"/>
      <c r="Q51" s="6">
        <v>1.0</v>
      </c>
      <c r="R51" s="6" t="s">
        <v>26</v>
      </c>
      <c r="S51" s="6" t="s">
        <v>27</v>
      </c>
      <c r="T51" s="6" t="s">
        <v>128</v>
      </c>
    </row>
    <row r="52">
      <c r="B52" s="6" t="s">
        <v>156</v>
      </c>
      <c r="C52" s="7" t="str">
        <f t="shared" si="1"/>
        <v/>
      </c>
      <c r="D52" s="7" t="s">
        <v>50</v>
      </c>
      <c r="E52" s="7">
        <v>100.0</v>
      </c>
      <c r="F52" s="7"/>
      <c r="G52" s="8" t="s">
        <v>157</v>
      </c>
      <c r="H52" s="9" t="str">
        <f t="shared" si="11"/>
        <v>https://appleinsider.com</v>
      </c>
      <c r="I52" s="9" t="str">
        <f>IFERROR(__xludf.DUMMYFUNCTION("IF(REGEXMATCH(H52,""www""),RIGHT(H52,LEN(H52)-FIND(""."",H52)+0),if(regexmatch(H52,""https://""),right(H52,len(H52)-find(""/"",H52)-1),H52))"),"appleinsider.com")</f>
        <v>appleinsider.com</v>
      </c>
      <c r="J52" s="9" t="str">
        <f t="shared" si="12"/>
        <v>appleinsider.com</v>
      </c>
      <c r="K52" s="9" t="s">
        <v>23</v>
      </c>
      <c r="L52" s="6" t="s">
        <v>24</v>
      </c>
      <c r="M52" s="8" t="str">
        <f t="shared" si="13"/>
        <v>https://newsapi.org/v2/everything?domains=appleinsider.com&amp;apiKey=ae2ad3e68d4e4daca149bbfb9b61c010</v>
      </c>
      <c r="N52" s="6">
        <v>1.0</v>
      </c>
      <c r="O52" s="6" t="s">
        <v>25</v>
      </c>
      <c r="P52" s="6"/>
      <c r="Q52" s="6">
        <v>1.0</v>
      </c>
      <c r="R52" s="6" t="s">
        <v>26</v>
      </c>
      <c r="S52" s="6" t="s">
        <v>27</v>
      </c>
      <c r="T52" s="6" t="s">
        <v>76</v>
      </c>
    </row>
    <row r="53">
      <c r="B53" s="6" t="s">
        <v>158</v>
      </c>
      <c r="C53" s="7" t="str">
        <f t="shared" si="1"/>
        <v/>
      </c>
      <c r="D53" s="7" t="s">
        <v>50</v>
      </c>
      <c r="E53" s="7">
        <v>100.0</v>
      </c>
      <c r="F53" s="7"/>
      <c r="G53" s="8" t="s">
        <v>159</v>
      </c>
      <c r="H53" s="9" t="str">
        <f t="shared" si="11"/>
        <v>https://www.archdaily.com</v>
      </c>
      <c r="I53" s="9" t="str">
        <f>IFERROR(__xludf.DUMMYFUNCTION("IF(REGEXMATCH(H53,""www""),RIGHT(H53,LEN(H53)-FIND(""."",H53)+0),if(regexmatch(H53,""https://""),right(H53,len(H53)-find(""/"",H53)-1),H53))"),"archdaily.com")</f>
        <v>archdaily.com</v>
      </c>
      <c r="J53" s="9" t="str">
        <f t="shared" si="12"/>
        <v>archdaily.com</v>
      </c>
      <c r="K53" s="9" t="s">
        <v>23</v>
      </c>
      <c r="L53" s="6" t="s">
        <v>24</v>
      </c>
      <c r="M53" s="8" t="str">
        <f t="shared" si="13"/>
        <v>https://newsapi.org/v2/everything?domains=archdaily.com&amp;apiKey=ae2ad3e68d4e4daca149bbfb9b61c010</v>
      </c>
      <c r="N53" s="6">
        <v>0.0</v>
      </c>
      <c r="O53" s="6" t="s">
        <v>25</v>
      </c>
      <c r="P53" s="6"/>
      <c r="Q53" s="6">
        <v>1.0</v>
      </c>
      <c r="R53" s="6" t="s">
        <v>26</v>
      </c>
      <c r="S53" s="6" t="s">
        <v>27</v>
      </c>
      <c r="T53" s="6" t="s">
        <v>61</v>
      </c>
    </row>
    <row r="54">
      <c r="B54" s="6" t="s">
        <v>160</v>
      </c>
      <c r="C54" s="7" t="str">
        <f t="shared" si="1"/>
        <v/>
      </c>
      <c r="D54" s="7" t="s">
        <v>50</v>
      </c>
      <c r="E54" s="7">
        <v>100.0</v>
      </c>
      <c r="F54" s="12"/>
      <c r="G54" s="11" t="s">
        <v>161</v>
      </c>
      <c r="H54" s="9" t="str">
        <f t="shared" si="11"/>
        <v>https://archinect.com</v>
      </c>
      <c r="I54" s="9" t="str">
        <f>IFERROR(__xludf.DUMMYFUNCTION("IF(REGEXMATCH(H54,""www""),RIGHT(H54,LEN(H54)-FIND(""."",H54)+0),if(regexmatch(H54,""https://""),right(H54,len(H54)-find(""/"",H54)-1),H54))"),"archinect.com")</f>
        <v>archinect.com</v>
      </c>
      <c r="J54" s="9" t="str">
        <f t="shared" si="12"/>
        <v>archinect.com</v>
      </c>
      <c r="K54" s="9" t="s">
        <v>23</v>
      </c>
      <c r="L54" s="6" t="s">
        <v>24</v>
      </c>
      <c r="M54" s="8" t="str">
        <f t="shared" si="13"/>
        <v>https://newsapi.org/v2/everything?domains=archinect.com&amp;apiKey=ae2ad3e68d4e4daca149bbfb9b61c010</v>
      </c>
      <c r="N54" s="6">
        <v>0.0</v>
      </c>
      <c r="O54" s="6" t="s">
        <v>25</v>
      </c>
      <c r="P54" s="6"/>
      <c r="Q54" s="6">
        <v>1.0</v>
      </c>
      <c r="R54" s="6" t="s">
        <v>26</v>
      </c>
      <c r="S54" s="6" t="s">
        <v>27</v>
      </c>
      <c r="T54" s="6" t="s">
        <v>61</v>
      </c>
    </row>
    <row r="55">
      <c r="B55" s="6" t="s">
        <v>162</v>
      </c>
      <c r="C55" s="7" t="str">
        <f t="shared" si="1"/>
        <v>Architect's Journal</v>
      </c>
      <c r="D55" s="7" t="s">
        <v>30</v>
      </c>
      <c r="E55" s="7"/>
      <c r="F55" s="8" t="s">
        <v>163</v>
      </c>
      <c r="G55" s="7"/>
      <c r="H55" s="10"/>
      <c r="I55" s="10"/>
      <c r="J55" s="10"/>
      <c r="K55" s="10"/>
      <c r="L55" s="6"/>
      <c r="M55" s="7"/>
      <c r="N55" s="6">
        <v>1.0</v>
      </c>
      <c r="O55" s="6" t="s">
        <v>25</v>
      </c>
      <c r="P55" s="6"/>
      <c r="Q55" s="6">
        <v>1.0</v>
      </c>
      <c r="R55" s="6" t="s">
        <v>26</v>
      </c>
      <c r="S55" s="6" t="s">
        <v>27</v>
      </c>
      <c r="T55" s="6" t="s">
        <v>61</v>
      </c>
    </row>
    <row r="56">
      <c r="B56" s="6" t="s">
        <v>164</v>
      </c>
      <c r="C56" s="7" t="str">
        <f t="shared" si="1"/>
        <v>Architect's Journal</v>
      </c>
      <c r="D56" s="7" t="s">
        <v>30</v>
      </c>
      <c r="E56" s="7"/>
      <c r="F56" s="8" t="s">
        <v>165</v>
      </c>
      <c r="G56" s="7"/>
      <c r="H56" s="10"/>
      <c r="I56" s="10"/>
      <c r="J56" s="10"/>
      <c r="K56" s="10"/>
      <c r="L56" s="6"/>
      <c r="M56" s="7"/>
      <c r="N56" s="6">
        <v>1.0</v>
      </c>
      <c r="O56" s="6" t="s">
        <v>25</v>
      </c>
      <c r="P56" s="6"/>
      <c r="Q56" s="6">
        <v>1.0</v>
      </c>
      <c r="R56" s="6" t="s">
        <v>26</v>
      </c>
      <c r="S56" s="6" t="s">
        <v>27</v>
      </c>
      <c r="T56" s="6" t="s">
        <v>61</v>
      </c>
    </row>
    <row r="57">
      <c r="B57" s="6" t="s">
        <v>166</v>
      </c>
      <c r="C57" s="7" t="str">
        <f t="shared" si="1"/>
        <v>Architect's Journal</v>
      </c>
      <c r="D57" s="7" t="s">
        <v>30</v>
      </c>
      <c r="E57" s="7"/>
      <c r="F57" s="8" t="s">
        <v>167</v>
      </c>
      <c r="G57" s="8" t="s">
        <v>168</v>
      </c>
      <c r="H57" s="9" t="str">
        <f>LEFT(G57, LEN(G57)-1)</f>
        <v>https://www.architectsjournal.co.uk</v>
      </c>
      <c r="I57" s="9" t="str">
        <f>IFERROR(__xludf.DUMMYFUNCTION("IF(REGEXMATCH(H57,""www""),RIGHT(H57,LEN(H57)-FIND(""."",H57)+0),if(regexmatch(H57,""https://""),right(H57,len(H57)-find(""/"",H57)-1),H57))"),"architectsjournal.co.uk")</f>
        <v>architectsjournal.co.uk</v>
      </c>
      <c r="J57" s="9" t="str">
        <f>I57</f>
        <v>architectsjournal.co.uk</v>
      </c>
      <c r="K57" s="9" t="s">
        <v>23</v>
      </c>
      <c r="L57" s="6" t="s">
        <v>24</v>
      </c>
      <c r="M57" s="8" t="str">
        <f>K57&amp;J57&amp;L57</f>
        <v>https://newsapi.org/v2/everything?domains=architectsjournal.co.uk&amp;apiKey=ae2ad3e68d4e4daca149bbfb9b61c010</v>
      </c>
      <c r="N57" s="6">
        <v>1.0</v>
      </c>
      <c r="O57" s="6" t="s">
        <v>25</v>
      </c>
      <c r="P57" s="6"/>
      <c r="Q57" s="6">
        <v>1.0</v>
      </c>
      <c r="R57" s="6" t="s">
        <v>26</v>
      </c>
      <c r="S57" s="6" t="s">
        <v>27</v>
      </c>
      <c r="T57" s="6" t="s">
        <v>61</v>
      </c>
    </row>
    <row r="58">
      <c r="B58" s="6" t="s">
        <v>169</v>
      </c>
      <c r="C58" s="7" t="str">
        <f t="shared" si="1"/>
        <v>Architect's Journal</v>
      </c>
      <c r="D58" s="7" t="s">
        <v>30</v>
      </c>
      <c r="E58" s="7"/>
      <c r="F58" s="8" t="s">
        <v>170</v>
      </c>
      <c r="G58" s="7"/>
      <c r="H58" s="10"/>
      <c r="I58" s="10"/>
      <c r="J58" s="10"/>
      <c r="K58" s="10"/>
      <c r="L58" s="6"/>
      <c r="M58" s="7"/>
      <c r="N58" s="6">
        <v>1.0</v>
      </c>
      <c r="O58" s="6" t="s">
        <v>25</v>
      </c>
      <c r="P58" s="6"/>
      <c r="Q58" s="6">
        <v>1.0</v>
      </c>
      <c r="R58" s="6" t="s">
        <v>26</v>
      </c>
      <c r="S58" s="6" t="s">
        <v>27</v>
      </c>
      <c r="T58" s="6" t="s">
        <v>61</v>
      </c>
    </row>
    <row r="59">
      <c r="B59" s="6" t="s">
        <v>171</v>
      </c>
      <c r="C59" s="7" t="str">
        <f t="shared" si="1"/>
        <v>Architect's Journal</v>
      </c>
      <c r="D59" s="7" t="s">
        <v>30</v>
      </c>
      <c r="E59" s="7"/>
      <c r="F59" s="8" t="s">
        <v>172</v>
      </c>
      <c r="G59" s="7"/>
      <c r="H59" s="10"/>
      <c r="I59" s="10"/>
      <c r="J59" s="10"/>
      <c r="K59" s="10"/>
      <c r="L59" s="6"/>
      <c r="M59" s="7"/>
      <c r="N59" s="6">
        <v>1.0</v>
      </c>
      <c r="O59" s="6" t="s">
        <v>25</v>
      </c>
      <c r="P59" s="6"/>
      <c r="Q59" s="6">
        <v>1.0</v>
      </c>
      <c r="R59" s="6" t="s">
        <v>26</v>
      </c>
      <c r="S59" s="6" t="s">
        <v>27</v>
      </c>
      <c r="T59" s="6" t="s">
        <v>61</v>
      </c>
    </row>
    <row r="60">
      <c r="B60" s="6" t="s">
        <v>173</v>
      </c>
      <c r="C60" s="7" t="str">
        <f t="shared" si="1"/>
        <v/>
      </c>
      <c r="D60" s="7" t="s">
        <v>30</v>
      </c>
      <c r="E60" s="7"/>
      <c r="F60" s="8" t="s">
        <v>174</v>
      </c>
      <c r="G60" s="8" t="s">
        <v>175</v>
      </c>
      <c r="H60" s="9" t="str">
        <f t="shared" ref="H60:H63" si="14">LEFT(G60, LEN(G60)-1)</f>
        <v>https://www.architecturaldigest.com</v>
      </c>
      <c r="I60" s="9" t="str">
        <f>IFERROR(__xludf.DUMMYFUNCTION("IF(REGEXMATCH(H60,""www""),RIGHT(H60,LEN(H60)-FIND(""."",H60)+0),if(regexmatch(H60,""https://""),right(H60,len(H60)-find(""/"",H60)-1),H60))"),"architecturaldigest.com")</f>
        <v>architecturaldigest.com</v>
      </c>
      <c r="J60" s="9" t="str">
        <f t="shared" ref="J60:J63" si="15">I60</f>
        <v>architecturaldigest.com</v>
      </c>
      <c r="K60" s="9" t="s">
        <v>23</v>
      </c>
      <c r="L60" s="6" t="s">
        <v>176</v>
      </c>
      <c r="M60" s="8" t="str">
        <f t="shared" ref="M60:M63" si="16">K60&amp;J60&amp;L60</f>
        <v>https://newsapi.org/v2/everything?domains=architecturaldigest.com&amp;apiKey=7d4cb29b783f48c8a1837901e959f134</v>
      </c>
      <c r="N60" s="6">
        <v>1.0</v>
      </c>
      <c r="O60" s="6" t="s">
        <v>25</v>
      </c>
      <c r="P60" s="6">
        <v>1.0</v>
      </c>
      <c r="Q60" s="6">
        <v>1.0</v>
      </c>
      <c r="R60" s="6" t="s">
        <v>26</v>
      </c>
      <c r="S60" s="6" t="s">
        <v>27</v>
      </c>
      <c r="T60" s="6" t="s">
        <v>61</v>
      </c>
    </row>
    <row r="61">
      <c r="B61" s="6" t="s">
        <v>177</v>
      </c>
      <c r="C61" s="7" t="str">
        <f t="shared" si="1"/>
        <v/>
      </c>
      <c r="D61" s="7" t="s">
        <v>30</v>
      </c>
      <c r="E61" s="7"/>
      <c r="F61" s="8" t="s">
        <v>178</v>
      </c>
      <c r="G61" s="8" t="s">
        <v>179</v>
      </c>
      <c r="H61" s="9" t="str">
        <f t="shared" si="14"/>
        <v>https://www.architectural-review.com</v>
      </c>
      <c r="I61" s="9" t="str">
        <f>IFERROR(__xludf.DUMMYFUNCTION("IF(REGEXMATCH(H61,""www""),RIGHT(H61,LEN(H61)-FIND(""."",H61)+0),if(regexmatch(H61,""https://""),right(H61,len(H61)-find(""/"",H61)-1),H61))"),"architectural-review.com")</f>
        <v>architectural-review.com</v>
      </c>
      <c r="J61" s="9" t="str">
        <f t="shared" si="15"/>
        <v>architectural-review.com</v>
      </c>
      <c r="K61" s="9" t="s">
        <v>23</v>
      </c>
      <c r="L61" s="6" t="s">
        <v>176</v>
      </c>
      <c r="M61" s="8" t="str">
        <f t="shared" si="16"/>
        <v>https://newsapi.org/v2/everything?domains=architectural-review.com&amp;apiKey=7d4cb29b783f48c8a1837901e959f134</v>
      </c>
      <c r="N61" s="6">
        <v>0.0</v>
      </c>
      <c r="O61" s="6" t="s">
        <v>25</v>
      </c>
      <c r="P61" s="6">
        <v>1.0</v>
      </c>
      <c r="Q61" s="6">
        <v>1.0</v>
      </c>
      <c r="R61" s="6" t="s">
        <v>26</v>
      </c>
      <c r="S61" s="6" t="s">
        <v>27</v>
      </c>
      <c r="T61" s="6" t="s">
        <v>61</v>
      </c>
    </row>
    <row r="62">
      <c r="B62" s="6" t="s">
        <v>180</v>
      </c>
      <c r="C62" s="7" t="str">
        <f t="shared" si="1"/>
        <v/>
      </c>
      <c r="D62" s="7" t="s">
        <v>20</v>
      </c>
      <c r="E62" s="7"/>
      <c r="F62" s="8" t="s">
        <v>181</v>
      </c>
      <c r="G62" s="8" t="s">
        <v>182</v>
      </c>
      <c r="H62" s="9" t="str">
        <f t="shared" si="14"/>
        <v>https://architecturetoday.co.uk</v>
      </c>
      <c r="I62" s="9" t="str">
        <f>IFERROR(__xludf.DUMMYFUNCTION("IF(REGEXMATCH(H62,""www""),RIGHT(H62,LEN(H62)-FIND(""."",H62)+0),if(regexmatch(H62,""https://""),right(H62,len(H62)-find(""/"",H62)-1),H62))"),"architecturetoday.co.uk")</f>
        <v>architecturetoday.co.uk</v>
      </c>
      <c r="J62" s="9" t="str">
        <f t="shared" si="15"/>
        <v>architecturetoday.co.uk</v>
      </c>
      <c r="K62" s="9" t="s">
        <v>23</v>
      </c>
      <c r="L62" s="6" t="s">
        <v>176</v>
      </c>
      <c r="M62" s="8" t="str">
        <f t="shared" si="16"/>
        <v>https://newsapi.org/v2/everything?domains=architecturetoday.co.uk&amp;apiKey=7d4cb29b783f48c8a1837901e959f134</v>
      </c>
      <c r="N62" s="6">
        <v>0.0</v>
      </c>
      <c r="O62" s="6" t="s">
        <v>25</v>
      </c>
      <c r="P62" s="6"/>
      <c r="Q62" s="6">
        <v>1.0</v>
      </c>
      <c r="R62" s="6" t="s">
        <v>26</v>
      </c>
      <c r="S62" s="6" t="s">
        <v>27</v>
      </c>
      <c r="T62" s="6" t="s">
        <v>61</v>
      </c>
    </row>
    <row r="63">
      <c r="B63" s="6" t="s">
        <v>183</v>
      </c>
      <c r="C63" s="7" t="str">
        <f t="shared" si="1"/>
        <v/>
      </c>
      <c r="D63" s="7" t="s">
        <v>30</v>
      </c>
      <c r="E63" s="7">
        <v>1.0</v>
      </c>
      <c r="F63" s="8" t="s">
        <v>69</v>
      </c>
      <c r="G63" s="8" t="s">
        <v>184</v>
      </c>
      <c r="H63" s="9" t="str">
        <f t="shared" si="14"/>
        <v>https://www.architonic.com</v>
      </c>
      <c r="I63" s="9" t="str">
        <f>IFERROR(__xludf.DUMMYFUNCTION("IF(REGEXMATCH(H63,""www""),RIGHT(H63,LEN(H63)-FIND(""."",H63)+0),if(regexmatch(H63,""https://""),right(H63,len(H63)-find(""/"",H63)-1),H63))"),"architonic.com")</f>
        <v>architonic.com</v>
      </c>
      <c r="J63" s="9" t="str">
        <f t="shared" si="15"/>
        <v>architonic.com</v>
      </c>
      <c r="K63" s="9" t="s">
        <v>23</v>
      </c>
      <c r="L63" s="6" t="s">
        <v>24</v>
      </c>
      <c r="M63" s="8" t="str">
        <f t="shared" si="16"/>
        <v>https://newsapi.org/v2/everything?domains=architonic.com&amp;apiKey=ae2ad3e68d4e4daca149bbfb9b61c010</v>
      </c>
      <c r="N63" s="6">
        <v>1.0</v>
      </c>
      <c r="O63" s="6" t="s">
        <v>25</v>
      </c>
      <c r="P63" s="6"/>
      <c r="Q63" s="6">
        <v>1.0</v>
      </c>
      <c r="R63" s="6" t="s">
        <v>26</v>
      </c>
      <c r="S63" s="6" t="s">
        <v>27</v>
      </c>
      <c r="T63" s="6" t="s">
        <v>61</v>
      </c>
    </row>
    <row r="64">
      <c r="B64" s="6" t="s">
        <v>185</v>
      </c>
      <c r="C64" s="7" t="str">
        <f t="shared" si="1"/>
        <v>Ars Technica</v>
      </c>
      <c r="D64" s="7" t="s">
        <v>20</v>
      </c>
      <c r="E64" s="12"/>
      <c r="F64" s="11" t="s">
        <v>186</v>
      </c>
      <c r="G64" s="12"/>
      <c r="H64" s="10"/>
      <c r="I64" s="10"/>
      <c r="J64" s="10"/>
      <c r="K64" s="10"/>
      <c r="L64" s="6"/>
      <c r="M64" s="7"/>
      <c r="N64" s="6">
        <v>1.0</v>
      </c>
      <c r="O64" s="6" t="s">
        <v>25</v>
      </c>
      <c r="P64" s="6"/>
      <c r="Q64" s="6"/>
      <c r="R64" s="6"/>
      <c r="S64" s="6"/>
      <c r="T64" s="6" t="s">
        <v>187</v>
      </c>
    </row>
    <row r="65">
      <c r="B65" s="6" t="s">
        <v>188</v>
      </c>
      <c r="C65" s="7" t="str">
        <f t="shared" si="1"/>
        <v>Ars Techinca</v>
      </c>
      <c r="D65" s="7" t="s">
        <v>20</v>
      </c>
      <c r="E65" s="12"/>
      <c r="F65" s="11" t="s">
        <v>189</v>
      </c>
      <c r="G65" s="12"/>
      <c r="H65" s="10"/>
      <c r="I65" s="10"/>
      <c r="J65" s="10"/>
      <c r="K65" s="10"/>
      <c r="L65" s="6"/>
      <c r="M65" s="7"/>
      <c r="N65" s="6">
        <v>1.0</v>
      </c>
      <c r="O65" s="6" t="s">
        <v>25</v>
      </c>
      <c r="P65" s="6"/>
      <c r="Q65" s="6"/>
      <c r="R65" s="6"/>
      <c r="S65" s="6"/>
      <c r="T65" s="6" t="s">
        <v>76</v>
      </c>
    </row>
    <row r="66">
      <c r="B66" s="6" t="s">
        <v>190</v>
      </c>
      <c r="C66" s="7" t="str">
        <f t="shared" si="1"/>
        <v/>
      </c>
      <c r="D66" s="7" t="s">
        <v>20</v>
      </c>
      <c r="E66" s="12"/>
      <c r="F66" s="11" t="s">
        <v>191</v>
      </c>
      <c r="G66" s="12"/>
      <c r="H66" s="10"/>
      <c r="I66" s="10"/>
      <c r="J66" s="10"/>
      <c r="K66" s="10"/>
      <c r="L66" s="6"/>
      <c r="M66" s="7"/>
      <c r="N66" s="6">
        <v>1.0</v>
      </c>
      <c r="O66" s="6" t="s">
        <v>25</v>
      </c>
      <c r="P66" s="6"/>
      <c r="Q66" s="6"/>
      <c r="R66" s="6"/>
      <c r="S66" s="6"/>
      <c r="T66" s="6" t="s">
        <v>187</v>
      </c>
    </row>
    <row r="67">
      <c r="B67" s="6" t="s">
        <v>192</v>
      </c>
      <c r="C67" s="7" t="str">
        <f t="shared" si="1"/>
        <v>Ars Technica</v>
      </c>
      <c r="D67" s="7" t="s">
        <v>20</v>
      </c>
      <c r="E67" s="12"/>
      <c r="F67" s="11" t="s">
        <v>193</v>
      </c>
      <c r="G67" s="12"/>
      <c r="H67" s="10"/>
      <c r="I67" s="10"/>
      <c r="J67" s="10"/>
      <c r="K67" s="10"/>
      <c r="L67" s="6"/>
      <c r="M67" s="7"/>
      <c r="N67" s="6">
        <v>1.0</v>
      </c>
      <c r="O67" s="6" t="s">
        <v>25</v>
      </c>
      <c r="P67" s="6"/>
      <c r="Q67" s="6"/>
      <c r="R67" s="6"/>
      <c r="S67" s="6"/>
      <c r="T67" s="6" t="s">
        <v>76</v>
      </c>
    </row>
    <row r="68">
      <c r="B68" s="6" t="s">
        <v>194</v>
      </c>
      <c r="C68" s="7" t="str">
        <f t="shared" si="1"/>
        <v>Ars Technica</v>
      </c>
      <c r="D68" s="7" t="s">
        <v>20</v>
      </c>
      <c r="E68" s="12"/>
      <c r="F68" s="11" t="s">
        <v>195</v>
      </c>
      <c r="G68" s="11" t="s">
        <v>196</v>
      </c>
      <c r="H68" s="9" t="str">
        <f>LEFT(G68, LEN(G68)-1)</f>
        <v>https://arstechnica.com</v>
      </c>
      <c r="I68" s="9" t="str">
        <f>IFERROR(__xludf.DUMMYFUNCTION("IF(REGEXMATCH(H68,""www""),RIGHT(H68,LEN(H68)-FIND(""."",H68)+0),if(regexmatch(H68,""https://""),right(H68,len(H68)-find(""/"",H68)-1),H68))"),"arstechnica.com")</f>
        <v>arstechnica.com</v>
      </c>
      <c r="J68" s="9" t="str">
        <f>I68</f>
        <v>arstechnica.com</v>
      </c>
      <c r="K68" s="9" t="s">
        <v>23</v>
      </c>
      <c r="L68" s="6" t="s">
        <v>24</v>
      </c>
      <c r="M68" s="8" t="str">
        <f>K68&amp;J68&amp;L68</f>
        <v>https://newsapi.org/v2/everything?domains=arstechnica.com&amp;apiKey=ae2ad3e68d4e4daca149bbfb9b61c010</v>
      </c>
      <c r="N68" s="6">
        <v>1.0</v>
      </c>
      <c r="O68" s="6" t="s">
        <v>25</v>
      </c>
      <c r="P68" s="6"/>
      <c r="Q68" s="6">
        <v>1.0</v>
      </c>
      <c r="R68" s="6" t="s">
        <v>26</v>
      </c>
      <c r="S68" s="6" t="s">
        <v>27</v>
      </c>
      <c r="T68" s="6" t="s">
        <v>76</v>
      </c>
    </row>
    <row r="69">
      <c r="B69" s="6" t="s">
        <v>197</v>
      </c>
      <c r="C69" s="7" t="str">
        <f t="shared" si="1"/>
        <v>Ars Technica</v>
      </c>
      <c r="D69" s="7" t="s">
        <v>20</v>
      </c>
      <c r="E69" s="12"/>
      <c r="F69" s="11" t="s">
        <v>198</v>
      </c>
      <c r="G69" s="12"/>
      <c r="H69" s="10"/>
      <c r="I69" s="10"/>
      <c r="J69" s="10"/>
      <c r="K69" s="10"/>
      <c r="L69" s="6"/>
      <c r="M69" s="7"/>
      <c r="N69" s="6">
        <v>1.0</v>
      </c>
      <c r="O69" s="6" t="s">
        <v>25</v>
      </c>
      <c r="P69" s="6"/>
      <c r="Q69" s="6"/>
      <c r="R69" s="6"/>
      <c r="S69" s="6"/>
      <c r="T69" s="6" t="s">
        <v>131</v>
      </c>
    </row>
    <row r="70">
      <c r="B70" s="6" t="s">
        <v>199</v>
      </c>
      <c r="C70" s="7" t="str">
        <f t="shared" si="1"/>
        <v/>
      </c>
      <c r="D70" s="7" t="s">
        <v>20</v>
      </c>
      <c r="E70" s="1"/>
      <c r="F70" s="8" t="s">
        <v>200</v>
      </c>
      <c r="G70" s="8" t="s">
        <v>201</v>
      </c>
      <c r="H70" s="9" t="str">
        <f t="shared" ref="H70:H78" si="17">LEFT(G70, LEN(G70)-1)</f>
        <v>https://www.artforum.com</v>
      </c>
      <c r="I70" s="9" t="str">
        <f>IFERROR(__xludf.DUMMYFUNCTION("IF(REGEXMATCH(H70,""www""),RIGHT(H70,LEN(H70)-FIND(""."",H70)+0),if(regexmatch(H70,""https://""),right(H70,len(H70)-find(""/"",H70)-1),H70))"),"artforum.com")</f>
        <v>artforum.com</v>
      </c>
      <c r="J70" s="9" t="str">
        <f t="shared" ref="J70:J78" si="18">I70</f>
        <v>artforum.com</v>
      </c>
      <c r="K70" s="9" t="s">
        <v>23</v>
      </c>
      <c r="L70" s="6" t="s">
        <v>176</v>
      </c>
      <c r="M70" s="8" t="str">
        <f t="shared" ref="M70:M78" si="19">K70&amp;J70&amp;L70</f>
        <v>https://newsapi.org/v2/everything?domains=artforum.com&amp;apiKey=7d4cb29b783f48c8a1837901e959f134</v>
      </c>
      <c r="N70" s="6">
        <v>0.0</v>
      </c>
      <c r="O70" s="6" t="s">
        <v>25</v>
      </c>
      <c r="P70" s="6">
        <v>4.0</v>
      </c>
      <c r="Q70" s="6">
        <v>1.0</v>
      </c>
      <c r="R70" s="6" t="s">
        <v>26</v>
      </c>
      <c r="S70" s="6" t="s">
        <v>27</v>
      </c>
      <c r="T70" s="6" t="s">
        <v>67</v>
      </c>
    </row>
    <row r="71">
      <c r="B71" s="6" t="s">
        <v>202</v>
      </c>
      <c r="C71" s="7" t="str">
        <f t="shared" si="1"/>
        <v/>
      </c>
      <c r="D71" s="7" t="s">
        <v>50</v>
      </c>
      <c r="E71" s="7">
        <v>2.0</v>
      </c>
      <c r="F71" s="7"/>
      <c r="G71" s="8" t="s">
        <v>203</v>
      </c>
      <c r="H71" s="9" t="str">
        <f t="shared" si="17"/>
        <v>https://www.artofthetitle.com</v>
      </c>
      <c r="I71" s="9" t="str">
        <f>IFERROR(__xludf.DUMMYFUNCTION("IF(REGEXMATCH(H71,""www""),RIGHT(H71,LEN(H71)-FIND(""."",H71)+0),if(regexmatch(H71,""https://""),right(H71,len(H71)-find(""/"",H71)-1),H71))"),"artofthetitle.com")</f>
        <v>artofthetitle.com</v>
      </c>
      <c r="J71" s="9" t="str">
        <f t="shared" si="18"/>
        <v>artofthetitle.com</v>
      </c>
      <c r="K71" s="9" t="s">
        <v>23</v>
      </c>
      <c r="L71" s="6" t="s">
        <v>176</v>
      </c>
      <c r="M71" s="8" t="str">
        <f t="shared" si="19"/>
        <v>https://newsapi.org/v2/everything?domains=artofthetitle.com&amp;apiKey=7d4cb29b783f48c8a1837901e959f134</v>
      </c>
      <c r="N71" s="6">
        <v>0.0</v>
      </c>
      <c r="O71" s="6" t="s">
        <v>25</v>
      </c>
      <c r="P71" s="6"/>
      <c r="Q71" s="6">
        <v>1.0</v>
      </c>
      <c r="R71" s="6" t="s">
        <v>26</v>
      </c>
      <c r="S71" s="6" t="s">
        <v>27</v>
      </c>
      <c r="T71" s="6" t="s">
        <v>52</v>
      </c>
    </row>
    <row r="72">
      <c r="B72" s="6" t="s">
        <v>204</v>
      </c>
      <c r="C72" s="7" t="str">
        <f t="shared" si="1"/>
        <v/>
      </c>
      <c r="D72" s="7" t="s">
        <v>30</v>
      </c>
      <c r="E72" s="12"/>
      <c r="F72" s="11" t="s">
        <v>205</v>
      </c>
      <c r="G72" s="11" t="s">
        <v>206</v>
      </c>
      <c r="H72" s="9" t="str">
        <f t="shared" si="17"/>
        <v>https://art.art</v>
      </c>
      <c r="I72" s="10" t="str">
        <f>IFERROR(__xludf.DUMMYFUNCTION("IF(REGEXMATCH(H72,""www""),RIGHT(H72,LEN(H72)-FIND(""."",H72)+0),if(regexmatch(H72,""https://""),right(H72,len(H72)-find(""/"",H72)-1),H72))"),"art.art")</f>
        <v>art.art</v>
      </c>
      <c r="J72" s="10" t="str">
        <f t="shared" si="18"/>
        <v>art.art</v>
      </c>
      <c r="K72" s="9" t="s">
        <v>23</v>
      </c>
      <c r="L72" s="6" t="s">
        <v>176</v>
      </c>
      <c r="M72" s="8" t="str">
        <f t="shared" si="19"/>
        <v>https://newsapi.org/v2/everything?domains=art.art&amp;apiKey=7d4cb29b783f48c8a1837901e959f134</v>
      </c>
      <c r="N72" s="6">
        <v>0.0</v>
      </c>
      <c r="O72" s="6" t="s">
        <v>25</v>
      </c>
      <c r="P72" s="6"/>
      <c r="Q72" s="6">
        <v>1.0</v>
      </c>
      <c r="R72" s="6" t="s">
        <v>26</v>
      </c>
      <c r="S72" s="6" t="s">
        <v>27</v>
      </c>
      <c r="T72" s="6" t="s">
        <v>67</v>
      </c>
    </row>
    <row r="73">
      <c r="B73" s="6" t="s">
        <v>207</v>
      </c>
      <c r="C73" s="7" t="str">
        <f t="shared" si="1"/>
        <v/>
      </c>
      <c r="D73" s="7" t="s">
        <v>50</v>
      </c>
      <c r="E73" s="7">
        <v>100.0</v>
      </c>
      <c r="F73" s="7"/>
      <c r="G73" s="8" t="s">
        <v>208</v>
      </c>
      <c r="H73" s="9" t="str">
        <f t="shared" si="17"/>
        <v>https://www.artnews.com</v>
      </c>
      <c r="I73" s="9" t="str">
        <f>IFERROR(__xludf.DUMMYFUNCTION("IF(REGEXMATCH(H73,""www""),RIGHT(H73,LEN(H73)-FIND(""."",H73)+0),if(regexmatch(H73,""https://""),right(H73,len(H73)-find(""/"",H73)-1),H73))"),"artnews.com")</f>
        <v>artnews.com</v>
      </c>
      <c r="J73" s="9" t="str">
        <f t="shared" si="18"/>
        <v>artnews.com</v>
      </c>
      <c r="K73" s="9" t="s">
        <v>23</v>
      </c>
      <c r="L73" s="6" t="s">
        <v>176</v>
      </c>
      <c r="M73" s="8" t="str">
        <f t="shared" si="19"/>
        <v>https://newsapi.org/v2/everything?domains=artnews.com&amp;apiKey=7d4cb29b783f48c8a1837901e959f134</v>
      </c>
      <c r="N73" s="6">
        <v>1.0</v>
      </c>
      <c r="O73" s="6" t="s">
        <v>25</v>
      </c>
      <c r="P73" s="6"/>
      <c r="Q73" s="6">
        <v>1.0</v>
      </c>
      <c r="R73" s="6" t="s">
        <v>26</v>
      </c>
      <c r="S73" s="6" t="s">
        <v>27</v>
      </c>
      <c r="T73" s="6" t="s">
        <v>67</v>
      </c>
    </row>
    <row r="74">
      <c r="B74" s="6" t="s">
        <v>209</v>
      </c>
      <c r="C74" s="7" t="str">
        <f t="shared" si="1"/>
        <v/>
      </c>
      <c r="D74" s="7" t="s">
        <v>30</v>
      </c>
      <c r="E74" s="7"/>
      <c r="F74" s="8" t="s">
        <v>210</v>
      </c>
      <c r="G74" s="8" t="s">
        <v>211</v>
      </c>
      <c r="H74" s="9" t="str">
        <f t="shared" si="17"/>
        <v>https://www.artsy.net</v>
      </c>
      <c r="I74" s="9" t="str">
        <f>IFERROR(__xludf.DUMMYFUNCTION("IF(REGEXMATCH(H74,""www""),RIGHT(H74,LEN(H74)-FIND(""."",H74)+0),if(regexmatch(H74,""https://""),right(H74,len(H74)-find(""/"",H74)-1),H74))"),"artsy.net")</f>
        <v>artsy.net</v>
      </c>
      <c r="J74" s="9" t="str">
        <f t="shared" si="18"/>
        <v>artsy.net</v>
      </c>
      <c r="K74" s="9" t="s">
        <v>23</v>
      </c>
      <c r="L74" s="6" t="s">
        <v>176</v>
      </c>
      <c r="M74" s="8" t="str">
        <f t="shared" si="19"/>
        <v>https://newsapi.org/v2/everything?domains=artsy.net&amp;apiKey=7d4cb29b783f48c8a1837901e959f134</v>
      </c>
      <c r="N74" s="6">
        <v>1.0</v>
      </c>
      <c r="O74" s="6" t="s">
        <v>25</v>
      </c>
      <c r="P74" s="6"/>
      <c r="Q74" s="6">
        <v>1.0</v>
      </c>
      <c r="R74" s="6" t="s">
        <v>26</v>
      </c>
      <c r="S74" s="6" t="s">
        <v>27</v>
      </c>
      <c r="T74" s="6" t="s">
        <v>67</v>
      </c>
    </row>
    <row r="75">
      <c r="B75" s="6" t="s">
        <v>212</v>
      </c>
      <c r="C75" s="7" t="str">
        <f t="shared" si="1"/>
        <v/>
      </c>
      <c r="D75" s="7" t="s">
        <v>30</v>
      </c>
      <c r="E75" s="7"/>
      <c r="F75" s="8" t="s">
        <v>213</v>
      </c>
      <c r="G75" s="8" t="s">
        <v>214</v>
      </c>
      <c r="H75" s="9" t="str">
        <f t="shared" si="17"/>
        <v>https://asteriskmag.com</v>
      </c>
      <c r="I75" s="9" t="str">
        <f>IFERROR(__xludf.DUMMYFUNCTION("IF(REGEXMATCH(H75,""www""),RIGHT(H75,LEN(H75)-FIND(""."",H75)+0),if(regexmatch(H75,""https://""),right(H75,len(H75)-find(""/"",H75)-1),H75))"),"asteriskmag.com")</f>
        <v>asteriskmag.com</v>
      </c>
      <c r="J75" s="9" t="str">
        <f t="shared" si="18"/>
        <v>asteriskmag.com</v>
      </c>
      <c r="K75" s="9" t="s">
        <v>23</v>
      </c>
      <c r="L75" s="6" t="s">
        <v>176</v>
      </c>
      <c r="M75" s="8" t="str">
        <f t="shared" si="19"/>
        <v>https://newsapi.org/v2/everything?domains=asteriskmag.com&amp;apiKey=7d4cb29b783f48c8a1837901e959f134</v>
      </c>
      <c r="N75" s="6">
        <v>0.0</v>
      </c>
      <c r="O75" s="6" t="s">
        <v>25</v>
      </c>
      <c r="P75" s="6"/>
      <c r="Q75" s="6">
        <v>1.0</v>
      </c>
      <c r="R75" s="6" t="s">
        <v>26</v>
      </c>
      <c r="S75" s="6" t="s">
        <v>27</v>
      </c>
      <c r="T75" s="6" t="s">
        <v>70</v>
      </c>
    </row>
    <row r="76">
      <c r="B76" s="6" t="s">
        <v>215</v>
      </c>
      <c r="C76" s="7" t="str">
        <f t="shared" si="1"/>
        <v/>
      </c>
      <c r="D76" s="7" t="s">
        <v>30</v>
      </c>
      <c r="E76" s="7"/>
      <c r="F76" s="8" t="s">
        <v>216</v>
      </c>
      <c r="G76" s="8" t="s">
        <v>217</v>
      </c>
      <c r="H76" s="9" t="str">
        <f t="shared" si="17"/>
        <v>https://astronomy.com</v>
      </c>
      <c r="I76" s="9" t="str">
        <f>IFERROR(__xludf.DUMMYFUNCTION("IF(REGEXMATCH(H76,""www""),RIGHT(H76,LEN(H76)-FIND(""."",H76)+0),if(regexmatch(H76,""https://""),right(H76,len(H76)-find(""/"",H76)-1),H76))"),"astronomy.com")</f>
        <v>astronomy.com</v>
      </c>
      <c r="J76" s="9" t="str">
        <f t="shared" si="18"/>
        <v>astronomy.com</v>
      </c>
      <c r="K76" s="9" t="s">
        <v>23</v>
      </c>
      <c r="L76" s="6" t="s">
        <v>24</v>
      </c>
      <c r="M76" s="8" t="str">
        <f t="shared" si="19"/>
        <v>https://newsapi.org/v2/everything?domains=astronomy.com&amp;apiKey=ae2ad3e68d4e4daca149bbfb9b61c010</v>
      </c>
      <c r="N76" s="6">
        <v>1.0</v>
      </c>
      <c r="O76" s="6" t="s">
        <v>25</v>
      </c>
      <c r="P76" s="6"/>
      <c r="Q76" s="6">
        <v>1.0</v>
      </c>
      <c r="R76" s="6" t="s">
        <v>26</v>
      </c>
      <c r="S76" s="6" t="s">
        <v>27</v>
      </c>
      <c r="T76" s="6" t="s">
        <v>64</v>
      </c>
    </row>
    <row r="77">
      <c r="B77" s="6" t="s">
        <v>218</v>
      </c>
      <c r="C77" s="7" t="str">
        <f t="shared" si="1"/>
        <v/>
      </c>
      <c r="D77" s="7" t="s">
        <v>30</v>
      </c>
      <c r="E77" s="7"/>
      <c r="F77" s="8" t="s">
        <v>219</v>
      </c>
      <c r="G77" s="8" t="s">
        <v>220</v>
      </c>
      <c r="H77" s="9" t="str">
        <f t="shared" si="17"/>
        <v>https://astronomynow.com</v>
      </c>
      <c r="I77" s="9" t="str">
        <f>IFERROR(__xludf.DUMMYFUNCTION("IF(REGEXMATCH(H77,""www""),RIGHT(H77,LEN(H77)-FIND(""."",H77)+0),if(regexmatch(H77,""https://""),right(H77,len(H77)-find(""/"",H77)-1),H77))"),"astronomynow.com")</f>
        <v>astronomynow.com</v>
      </c>
      <c r="J77" s="9" t="str">
        <f t="shared" si="18"/>
        <v>astronomynow.com</v>
      </c>
      <c r="K77" s="9" t="s">
        <v>23</v>
      </c>
      <c r="L77" s="6" t="s">
        <v>24</v>
      </c>
      <c r="M77" s="8" t="str">
        <f t="shared" si="19"/>
        <v>https://newsapi.org/v2/everything?domains=astronomynow.com&amp;apiKey=ae2ad3e68d4e4daca149bbfb9b61c010</v>
      </c>
      <c r="N77" s="6">
        <v>1.0</v>
      </c>
      <c r="O77" s="6" t="s">
        <v>25</v>
      </c>
      <c r="P77" s="6"/>
      <c r="Q77" s="6">
        <v>1.0</v>
      </c>
      <c r="R77" s="6" t="s">
        <v>26</v>
      </c>
      <c r="S77" s="6" t="s">
        <v>27</v>
      </c>
      <c r="T77" s="6" t="s">
        <v>64</v>
      </c>
    </row>
    <row r="78">
      <c r="B78" s="6" t="s">
        <v>221</v>
      </c>
      <c r="C78" s="7" t="str">
        <f t="shared" si="1"/>
        <v/>
      </c>
      <c r="D78" s="7" t="s">
        <v>50</v>
      </c>
      <c r="E78" s="7">
        <v>100.0</v>
      </c>
      <c r="F78" s="7"/>
      <c r="G78" s="8" t="s">
        <v>222</v>
      </c>
      <c r="H78" s="9" t="str">
        <f t="shared" si="17"/>
        <v>https://www.atlasobscura.com</v>
      </c>
      <c r="I78" s="9" t="str">
        <f>IFERROR(__xludf.DUMMYFUNCTION("IF(REGEXMATCH(H78,""www""),RIGHT(H78,LEN(H78)-FIND(""."",H78)+0),if(regexmatch(H78,""https://""),right(H78,len(H78)-find(""/"",H78)-1),H78))"),"atlasobscura.com")</f>
        <v>atlasobscura.com</v>
      </c>
      <c r="J78" s="9" t="str">
        <f t="shared" si="18"/>
        <v>atlasobscura.com</v>
      </c>
      <c r="K78" s="9" t="s">
        <v>23</v>
      </c>
      <c r="L78" s="6" t="s">
        <v>24</v>
      </c>
      <c r="M78" s="8" t="str">
        <f t="shared" si="19"/>
        <v>https://newsapi.org/v2/everything?domains=atlasobscura.com&amp;apiKey=ae2ad3e68d4e4daca149bbfb9b61c010</v>
      </c>
      <c r="N78" s="6">
        <v>0.0</v>
      </c>
      <c r="O78" s="6" t="s">
        <v>25</v>
      </c>
      <c r="P78" s="6"/>
      <c r="Q78" s="6">
        <v>1.0</v>
      </c>
      <c r="R78" s="6" t="s">
        <v>26</v>
      </c>
      <c r="S78" s="6" t="s">
        <v>27</v>
      </c>
      <c r="T78" s="6" t="s">
        <v>223</v>
      </c>
    </row>
    <row r="79">
      <c r="B79" s="6" t="s">
        <v>224</v>
      </c>
      <c r="C79" s="7" t="str">
        <f t="shared" si="1"/>
        <v/>
      </c>
      <c r="D79" s="7" t="s">
        <v>20</v>
      </c>
      <c r="E79" s="1"/>
      <c r="F79" s="11" t="s">
        <v>225</v>
      </c>
      <c r="G79" s="1"/>
      <c r="M79" s="1"/>
      <c r="N79" s="6">
        <v>0.0</v>
      </c>
      <c r="O79" s="6" t="s">
        <v>43</v>
      </c>
      <c r="P79" s="6"/>
      <c r="Q79" s="6">
        <v>1.0</v>
      </c>
      <c r="R79" s="6" t="s">
        <v>26</v>
      </c>
      <c r="S79" s="6" t="s">
        <v>27</v>
      </c>
      <c r="T79" s="6" t="s">
        <v>226</v>
      </c>
    </row>
    <row r="80">
      <c r="B80" s="6" t="s">
        <v>227</v>
      </c>
      <c r="C80" s="7" t="str">
        <f t="shared" si="1"/>
        <v>Axios</v>
      </c>
      <c r="D80" s="7" t="s">
        <v>30</v>
      </c>
      <c r="E80" s="7"/>
      <c r="F80" s="8" t="s">
        <v>228</v>
      </c>
      <c r="G80" s="7"/>
      <c r="H80" s="10"/>
      <c r="I80" s="10"/>
      <c r="J80" s="10"/>
      <c r="K80" s="10"/>
      <c r="L80" s="6"/>
      <c r="M80" s="7"/>
      <c r="N80" s="6">
        <v>1.0</v>
      </c>
      <c r="O80" s="6" t="s">
        <v>25</v>
      </c>
      <c r="P80" s="6"/>
      <c r="Q80" s="6">
        <v>1.0</v>
      </c>
      <c r="R80" s="6" t="s">
        <v>26</v>
      </c>
      <c r="S80" s="6" t="s">
        <v>27</v>
      </c>
      <c r="T80" s="6" t="s">
        <v>48</v>
      </c>
    </row>
    <row r="81">
      <c r="B81" s="6" t="s">
        <v>229</v>
      </c>
      <c r="C81" s="7" t="str">
        <f t="shared" si="1"/>
        <v>Axios</v>
      </c>
      <c r="D81" s="7" t="s">
        <v>30</v>
      </c>
      <c r="E81" s="7"/>
      <c r="F81" s="8" t="s">
        <v>230</v>
      </c>
      <c r="G81" s="7"/>
      <c r="H81" s="10"/>
      <c r="I81" s="10"/>
      <c r="J81" s="10"/>
      <c r="K81" s="10"/>
      <c r="L81" s="6"/>
      <c r="M81" s="7"/>
      <c r="N81" s="6">
        <v>1.0</v>
      </c>
      <c r="O81" s="6" t="s">
        <v>25</v>
      </c>
      <c r="P81" s="6"/>
      <c r="Q81" s="6">
        <v>1.0</v>
      </c>
      <c r="R81" s="6" t="s">
        <v>26</v>
      </c>
      <c r="S81" s="6" t="s">
        <v>27</v>
      </c>
      <c r="T81" s="6" t="s">
        <v>85</v>
      </c>
    </row>
    <row r="82">
      <c r="B82" s="6" t="s">
        <v>231</v>
      </c>
      <c r="C82" s="7" t="str">
        <f t="shared" si="1"/>
        <v>Axios</v>
      </c>
      <c r="D82" s="7" t="s">
        <v>30</v>
      </c>
      <c r="E82" s="7"/>
      <c r="F82" s="8" t="s">
        <v>232</v>
      </c>
      <c r="G82" s="7"/>
      <c r="H82" s="10"/>
      <c r="I82" s="10"/>
      <c r="J82" s="10"/>
      <c r="K82" s="10"/>
      <c r="L82" s="6"/>
      <c r="M82" s="7"/>
      <c r="N82" s="6">
        <v>1.0</v>
      </c>
      <c r="O82" s="6" t="s">
        <v>25</v>
      </c>
      <c r="P82" s="6"/>
      <c r="Q82" s="6">
        <v>1.0</v>
      </c>
      <c r="R82" s="6" t="s">
        <v>26</v>
      </c>
      <c r="S82" s="6" t="s">
        <v>27</v>
      </c>
      <c r="T82" s="6" t="s">
        <v>187</v>
      </c>
    </row>
    <row r="83">
      <c r="B83" s="6" t="s">
        <v>233</v>
      </c>
      <c r="C83" s="7" t="str">
        <f t="shared" si="1"/>
        <v>Axios</v>
      </c>
      <c r="D83" s="7" t="s">
        <v>30</v>
      </c>
      <c r="E83" s="7"/>
      <c r="F83" s="8" t="s">
        <v>234</v>
      </c>
      <c r="G83" s="7"/>
      <c r="H83" s="10"/>
      <c r="I83" s="10"/>
      <c r="J83" s="10"/>
      <c r="K83" s="10"/>
      <c r="L83" s="6"/>
      <c r="M83" s="7"/>
      <c r="N83" s="6">
        <v>1.0</v>
      </c>
      <c r="O83" s="6" t="s">
        <v>25</v>
      </c>
      <c r="P83" s="6"/>
      <c r="Q83" s="6">
        <v>1.0</v>
      </c>
      <c r="R83" s="6" t="s">
        <v>26</v>
      </c>
      <c r="S83" s="6" t="s">
        <v>27</v>
      </c>
      <c r="T83" s="6" t="s">
        <v>101</v>
      </c>
    </row>
    <row r="84">
      <c r="B84" s="6" t="s">
        <v>235</v>
      </c>
      <c r="C84" s="7" t="str">
        <f t="shared" si="1"/>
        <v>Axios</v>
      </c>
      <c r="D84" s="7" t="s">
        <v>30</v>
      </c>
      <c r="E84" s="7"/>
      <c r="F84" s="8" t="s">
        <v>236</v>
      </c>
      <c r="G84" s="7"/>
      <c r="H84" s="10"/>
      <c r="I84" s="10"/>
      <c r="J84" s="10"/>
      <c r="K84" s="10"/>
      <c r="L84" s="6"/>
      <c r="M84" s="7"/>
      <c r="N84" s="6">
        <v>1.0</v>
      </c>
      <c r="O84" s="6" t="s">
        <v>25</v>
      </c>
      <c r="P84" s="6"/>
      <c r="Q84" s="6">
        <v>1.0</v>
      </c>
      <c r="R84" s="6" t="s">
        <v>26</v>
      </c>
      <c r="S84" s="6" t="s">
        <v>27</v>
      </c>
      <c r="T84" s="6" t="s">
        <v>131</v>
      </c>
    </row>
    <row r="85">
      <c r="B85" s="6" t="s">
        <v>237</v>
      </c>
      <c r="C85" s="7" t="str">
        <f t="shared" si="1"/>
        <v>Axios</v>
      </c>
      <c r="D85" s="7" t="s">
        <v>30</v>
      </c>
      <c r="E85" s="7"/>
      <c r="F85" s="8" t="s">
        <v>238</v>
      </c>
      <c r="G85" s="7"/>
      <c r="H85" s="10"/>
      <c r="I85" s="10"/>
      <c r="J85" s="10"/>
      <c r="K85" s="10"/>
      <c r="L85" s="6"/>
      <c r="M85" s="7"/>
      <c r="N85" s="6">
        <v>1.0</v>
      </c>
      <c r="O85" s="6" t="s">
        <v>25</v>
      </c>
      <c r="P85" s="6"/>
      <c r="Q85" s="6">
        <v>1.0</v>
      </c>
      <c r="R85" s="6" t="s">
        <v>26</v>
      </c>
      <c r="S85" s="6" t="s">
        <v>27</v>
      </c>
      <c r="T85" s="6" t="s">
        <v>76</v>
      </c>
    </row>
    <row r="86">
      <c r="B86" s="6" t="s">
        <v>239</v>
      </c>
      <c r="C86" s="7" t="str">
        <f t="shared" si="1"/>
        <v>Axios</v>
      </c>
      <c r="D86" s="7" t="s">
        <v>30</v>
      </c>
      <c r="E86" s="7"/>
      <c r="F86" s="8" t="s">
        <v>240</v>
      </c>
      <c r="G86" s="7"/>
      <c r="H86" s="10"/>
      <c r="I86" s="10"/>
      <c r="J86" s="10"/>
      <c r="K86" s="10"/>
      <c r="L86" s="6"/>
      <c r="M86" s="7"/>
      <c r="N86" s="6">
        <v>1.0</v>
      </c>
      <c r="O86" s="6" t="s">
        <v>25</v>
      </c>
      <c r="P86" s="6"/>
      <c r="Q86" s="6">
        <v>1.0</v>
      </c>
      <c r="R86" s="6" t="s">
        <v>26</v>
      </c>
      <c r="S86" s="6" t="s">
        <v>27</v>
      </c>
      <c r="T86" s="6" t="s">
        <v>241</v>
      </c>
    </row>
    <row r="87">
      <c r="B87" s="6" t="s">
        <v>242</v>
      </c>
      <c r="C87" s="7" t="str">
        <f t="shared" si="1"/>
        <v/>
      </c>
      <c r="D87" s="7" t="s">
        <v>30</v>
      </c>
      <c r="E87" s="7"/>
      <c r="F87" s="8" t="s">
        <v>243</v>
      </c>
      <c r="G87" s="8" t="s">
        <v>244</v>
      </c>
      <c r="H87" s="9" t="str">
        <f t="shared" ref="H87:H88" si="20">LEFT(G87, LEN(G87)-1)</f>
        <v>https://newsletter.banklesshq.com</v>
      </c>
      <c r="I87" s="9" t="str">
        <f>IFERROR(__xludf.DUMMYFUNCTION("IF(REGEXMATCH(H87,""www""),RIGHT(H87,LEN(H87)-FIND(""."",H87)+0),if(regexmatch(H87,""https://""),right(H87,len(H87)-find(""/"",H87)-1),H87))"),"newsletter.banklesshq.com")</f>
        <v>newsletter.banklesshq.com</v>
      </c>
      <c r="J87" s="9" t="str">
        <f t="shared" ref="J87:J88" si="21">I87</f>
        <v>newsletter.banklesshq.com</v>
      </c>
      <c r="K87" s="9" t="s">
        <v>23</v>
      </c>
      <c r="L87" s="6" t="s">
        <v>176</v>
      </c>
      <c r="M87" s="8" t="str">
        <f t="shared" ref="M87:M88" si="22">K87&amp;J87&amp;L87</f>
        <v>https://newsapi.org/v2/everything?domains=newsletter.banklesshq.com&amp;apiKey=7d4cb29b783f48c8a1837901e959f134</v>
      </c>
      <c r="N87" s="6">
        <v>1.0</v>
      </c>
      <c r="O87" s="6" t="s">
        <v>25</v>
      </c>
      <c r="P87" s="6"/>
      <c r="Q87" s="6">
        <v>1.0</v>
      </c>
      <c r="R87" s="6" t="s">
        <v>26</v>
      </c>
      <c r="S87" s="6" t="s">
        <v>27</v>
      </c>
      <c r="T87" s="6" t="s">
        <v>245</v>
      </c>
    </row>
    <row r="88">
      <c r="B88" s="6" t="s">
        <v>246</v>
      </c>
      <c r="C88" s="7" t="str">
        <f t="shared" si="1"/>
        <v/>
      </c>
      <c r="D88" s="7" t="s">
        <v>50</v>
      </c>
      <c r="E88" s="7">
        <v>10.0</v>
      </c>
      <c r="F88" s="7"/>
      <c r="G88" s="8" t="s">
        <v>247</v>
      </c>
      <c r="H88" s="9" t="str">
        <f t="shared" si="20"/>
        <v>https://www.bankrate.com</v>
      </c>
      <c r="I88" s="9" t="str">
        <f>IFERROR(__xludf.DUMMYFUNCTION("IF(REGEXMATCH(H88,""www""),RIGHT(H88,LEN(H88)-FIND(""."",H88)+0),if(regexmatch(H88,""https://""),right(H88,len(H88)-find(""/"",H88)-1),H88))"),"bankrate.com")</f>
        <v>bankrate.com</v>
      </c>
      <c r="J88" s="9" t="str">
        <f t="shared" si="21"/>
        <v>bankrate.com</v>
      </c>
      <c r="K88" s="9" t="s">
        <v>23</v>
      </c>
      <c r="L88" s="6" t="s">
        <v>176</v>
      </c>
      <c r="M88" s="8" t="str">
        <f t="shared" si="22"/>
        <v>https://newsapi.org/v2/everything?domains=bankrate.com&amp;apiKey=7d4cb29b783f48c8a1837901e959f134</v>
      </c>
      <c r="N88" s="6">
        <v>0.0</v>
      </c>
      <c r="O88" s="6" t="s">
        <v>25</v>
      </c>
      <c r="P88" s="6"/>
      <c r="Q88" s="6">
        <v>1.0</v>
      </c>
      <c r="R88" s="6" t="s">
        <v>26</v>
      </c>
      <c r="S88" s="6" t="s">
        <v>27</v>
      </c>
      <c r="T88" s="6" t="s">
        <v>248</v>
      </c>
    </row>
    <row r="89">
      <c r="B89" s="6" t="s">
        <v>249</v>
      </c>
      <c r="C89" s="7" t="str">
        <f t="shared" si="1"/>
        <v>BBC</v>
      </c>
      <c r="D89" s="7" t="s">
        <v>30</v>
      </c>
      <c r="E89" s="7"/>
      <c r="F89" s="8" t="s">
        <v>250</v>
      </c>
      <c r="G89" s="7"/>
      <c r="H89" s="10"/>
      <c r="I89" s="10"/>
      <c r="J89" s="10"/>
      <c r="K89" s="10"/>
      <c r="L89" s="6"/>
      <c r="M89" s="7"/>
      <c r="N89" s="6">
        <v>0.0</v>
      </c>
      <c r="O89" s="6" t="s">
        <v>25</v>
      </c>
      <c r="P89" s="6"/>
      <c r="Q89" s="6">
        <v>1.0</v>
      </c>
      <c r="R89" s="6" t="s">
        <v>26</v>
      </c>
      <c r="S89" s="6" t="s">
        <v>27</v>
      </c>
      <c r="T89" s="6" t="s">
        <v>67</v>
      </c>
    </row>
    <row r="90">
      <c r="B90" s="6" t="s">
        <v>251</v>
      </c>
      <c r="C90" s="7" t="str">
        <f t="shared" si="1"/>
        <v>BBC</v>
      </c>
      <c r="D90" s="7" t="s">
        <v>30</v>
      </c>
      <c r="E90" s="7"/>
      <c r="F90" s="8" t="s">
        <v>252</v>
      </c>
      <c r="G90" s="7"/>
      <c r="H90" s="10"/>
      <c r="I90" s="10"/>
      <c r="J90" s="10"/>
      <c r="K90" s="10"/>
      <c r="L90" s="6"/>
      <c r="M90" s="7"/>
      <c r="N90" s="6">
        <v>0.0</v>
      </c>
      <c r="O90" s="6" t="s">
        <v>25</v>
      </c>
      <c r="P90" s="6"/>
      <c r="Q90" s="6">
        <v>1.0</v>
      </c>
      <c r="R90" s="6" t="s">
        <v>26</v>
      </c>
      <c r="S90" s="6" t="s">
        <v>27</v>
      </c>
      <c r="T90" s="6" t="s">
        <v>107</v>
      </c>
    </row>
    <row r="91">
      <c r="B91" s="6" t="s">
        <v>253</v>
      </c>
      <c r="C91" s="7" t="str">
        <f t="shared" si="1"/>
        <v>BBC</v>
      </c>
      <c r="D91" s="7" t="s">
        <v>20</v>
      </c>
      <c r="E91" s="7"/>
      <c r="F91" s="8" t="s">
        <v>254</v>
      </c>
      <c r="G91" s="7"/>
      <c r="H91" s="10"/>
      <c r="I91" s="10"/>
      <c r="J91" s="10"/>
      <c r="K91" s="10"/>
      <c r="L91" s="6"/>
      <c r="M91" s="7"/>
      <c r="N91" s="6">
        <v>1.0</v>
      </c>
      <c r="O91" s="6" t="s">
        <v>25</v>
      </c>
      <c r="P91" s="6"/>
      <c r="Q91" s="6">
        <v>1.0</v>
      </c>
      <c r="R91" s="6" t="s">
        <v>26</v>
      </c>
      <c r="S91" s="6" t="s">
        <v>27</v>
      </c>
      <c r="T91" s="6" t="s">
        <v>48</v>
      </c>
    </row>
    <row r="92">
      <c r="B92" s="6" t="s">
        <v>255</v>
      </c>
      <c r="C92" s="7" t="str">
        <f t="shared" si="1"/>
        <v>BBC</v>
      </c>
      <c r="D92" s="7" t="s">
        <v>30</v>
      </c>
      <c r="E92" s="7"/>
      <c r="F92" s="8" t="s">
        <v>256</v>
      </c>
      <c r="G92" s="7"/>
      <c r="H92" s="10"/>
      <c r="I92" s="10"/>
      <c r="J92" s="10"/>
      <c r="K92" s="10"/>
      <c r="L92" s="6"/>
      <c r="M92" s="7"/>
      <c r="N92" s="6">
        <v>0.0</v>
      </c>
      <c r="O92" s="6" t="s">
        <v>25</v>
      </c>
      <c r="P92" s="6"/>
      <c r="Q92" s="6">
        <v>1.0</v>
      </c>
      <c r="R92" s="6" t="s">
        <v>26</v>
      </c>
      <c r="S92" s="6" t="s">
        <v>27</v>
      </c>
      <c r="T92" s="6" t="s">
        <v>67</v>
      </c>
    </row>
    <row r="93">
      <c r="B93" s="6" t="s">
        <v>257</v>
      </c>
      <c r="C93" s="7" t="str">
        <f t="shared" si="1"/>
        <v>BBC</v>
      </c>
      <c r="D93" s="7" t="s">
        <v>30</v>
      </c>
      <c r="E93" s="7"/>
      <c r="F93" s="8" t="s">
        <v>258</v>
      </c>
      <c r="G93" s="7"/>
      <c r="H93" s="10"/>
      <c r="I93" s="10"/>
      <c r="J93" s="10"/>
      <c r="K93" s="10"/>
      <c r="L93" s="6"/>
      <c r="M93" s="7"/>
      <c r="N93" s="6">
        <v>0.0</v>
      </c>
      <c r="O93" s="6" t="s">
        <v>25</v>
      </c>
      <c r="P93" s="6"/>
      <c r="Q93" s="6">
        <v>1.0</v>
      </c>
      <c r="R93" s="6" t="s">
        <v>26</v>
      </c>
      <c r="S93" s="6" t="s">
        <v>27</v>
      </c>
      <c r="T93" s="6" t="s">
        <v>52</v>
      </c>
    </row>
    <row r="94">
      <c r="B94" s="6" t="s">
        <v>259</v>
      </c>
      <c r="C94" s="7" t="str">
        <f t="shared" si="1"/>
        <v>BBC</v>
      </c>
      <c r="D94" s="7" t="s">
        <v>30</v>
      </c>
      <c r="E94" s="7"/>
      <c r="F94" s="8" t="s">
        <v>260</v>
      </c>
      <c r="G94" s="7"/>
      <c r="H94" s="10"/>
      <c r="I94" s="10"/>
      <c r="J94" s="10"/>
      <c r="K94" s="10"/>
      <c r="L94" s="6"/>
      <c r="M94" s="7"/>
      <c r="N94" s="6">
        <v>1.0</v>
      </c>
      <c r="O94" s="6" t="s">
        <v>25</v>
      </c>
      <c r="P94" s="6"/>
      <c r="Q94" s="6">
        <v>1.0</v>
      </c>
      <c r="R94" s="6" t="s">
        <v>26</v>
      </c>
      <c r="S94" s="6" t="s">
        <v>27</v>
      </c>
      <c r="T94" s="6" t="s">
        <v>248</v>
      </c>
    </row>
    <row r="95">
      <c r="B95" s="6" t="s">
        <v>261</v>
      </c>
      <c r="C95" s="7" t="str">
        <f t="shared" si="1"/>
        <v>BBC</v>
      </c>
      <c r="D95" s="7" t="s">
        <v>30</v>
      </c>
      <c r="E95" s="7"/>
      <c r="F95" s="8" t="s">
        <v>262</v>
      </c>
      <c r="G95" s="7"/>
      <c r="H95" s="10"/>
      <c r="I95" s="10"/>
      <c r="J95" s="10"/>
      <c r="K95" s="10"/>
      <c r="L95" s="6"/>
      <c r="M95" s="7"/>
      <c r="N95" s="6">
        <v>1.0</v>
      </c>
      <c r="O95" s="6" t="s">
        <v>25</v>
      </c>
      <c r="P95" s="6"/>
      <c r="Q95" s="6">
        <v>1.0</v>
      </c>
      <c r="R95" s="6" t="s">
        <v>26</v>
      </c>
      <c r="S95" s="6" t="s">
        <v>27</v>
      </c>
      <c r="T95" s="6" t="s">
        <v>101</v>
      </c>
    </row>
    <row r="96">
      <c r="B96" s="6" t="s">
        <v>263</v>
      </c>
      <c r="C96" s="7" t="str">
        <f t="shared" si="1"/>
        <v>BBC</v>
      </c>
      <c r="D96" s="7" t="s">
        <v>30</v>
      </c>
      <c r="E96" s="7"/>
      <c r="F96" s="8" t="s">
        <v>264</v>
      </c>
      <c r="G96" s="7"/>
      <c r="H96" s="10"/>
      <c r="I96" s="10"/>
      <c r="J96" s="10"/>
      <c r="K96" s="10"/>
      <c r="L96" s="6"/>
      <c r="M96" s="7"/>
      <c r="N96" s="6">
        <v>0.0</v>
      </c>
      <c r="O96" s="6" t="s">
        <v>25</v>
      </c>
      <c r="P96" s="6"/>
      <c r="Q96" s="6">
        <v>1.0</v>
      </c>
      <c r="R96" s="6" t="s">
        <v>26</v>
      </c>
      <c r="S96" s="6" t="s">
        <v>27</v>
      </c>
      <c r="T96" s="6" t="s">
        <v>44</v>
      </c>
    </row>
    <row r="97">
      <c r="B97" s="6" t="s">
        <v>265</v>
      </c>
      <c r="C97" s="7" t="str">
        <f t="shared" si="1"/>
        <v>BBC</v>
      </c>
      <c r="D97" s="7" t="s">
        <v>30</v>
      </c>
      <c r="E97" s="7"/>
      <c r="F97" s="11" t="s">
        <v>266</v>
      </c>
      <c r="G97" s="7"/>
      <c r="H97" s="10"/>
      <c r="I97" s="10"/>
      <c r="J97" s="10"/>
      <c r="K97" s="10"/>
      <c r="L97" s="6"/>
      <c r="M97" s="7"/>
      <c r="N97" s="6">
        <v>0.0</v>
      </c>
      <c r="O97" s="6" t="s">
        <v>25</v>
      </c>
      <c r="P97" s="6"/>
      <c r="Q97" s="6">
        <v>1.0</v>
      </c>
      <c r="R97" s="6" t="s">
        <v>26</v>
      </c>
      <c r="S97" s="6" t="s">
        <v>27</v>
      </c>
      <c r="T97" s="6" t="s">
        <v>85</v>
      </c>
    </row>
    <row r="98">
      <c r="B98" s="6" t="s">
        <v>267</v>
      </c>
      <c r="C98" s="7" t="str">
        <f t="shared" si="1"/>
        <v>BBC</v>
      </c>
      <c r="D98" s="7" t="s">
        <v>20</v>
      </c>
      <c r="E98" s="7"/>
      <c r="F98" s="8" t="s">
        <v>268</v>
      </c>
      <c r="G98" s="7"/>
      <c r="H98" s="10"/>
      <c r="I98" s="10"/>
      <c r="J98" s="10"/>
      <c r="K98" s="10"/>
      <c r="L98" s="6"/>
      <c r="M98" s="7"/>
      <c r="N98" s="6">
        <v>1.0</v>
      </c>
      <c r="O98" s="6" t="s">
        <v>25</v>
      </c>
      <c r="P98" s="6"/>
      <c r="Q98" s="6">
        <v>1.0</v>
      </c>
      <c r="R98" s="6" t="s">
        <v>26</v>
      </c>
      <c r="S98" s="6" t="s">
        <v>27</v>
      </c>
      <c r="T98" s="6" t="s">
        <v>101</v>
      </c>
    </row>
    <row r="99">
      <c r="B99" s="6" t="s">
        <v>269</v>
      </c>
      <c r="C99" s="7" t="str">
        <f t="shared" si="1"/>
        <v>BBC</v>
      </c>
      <c r="D99" s="7" t="s">
        <v>30</v>
      </c>
      <c r="E99" s="7"/>
      <c r="F99" s="8" t="s">
        <v>270</v>
      </c>
      <c r="G99" s="7"/>
      <c r="H99" s="10"/>
      <c r="I99" s="10"/>
      <c r="J99" s="10"/>
      <c r="K99" s="10"/>
      <c r="L99" s="6"/>
      <c r="M99" s="7"/>
      <c r="N99" s="6">
        <v>0.0</v>
      </c>
      <c r="O99" s="6" t="s">
        <v>25</v>
      </c>
      <c r="P99" s="6"/>
      <c r="Q99" s="6">
        <v>1.0</v>
      </c>
      <c r="R99" s="6" t="s">
        <v>26</v>
      </c>
      <c r="S99" s="6" t="s">
        <v>27</v>
      </c>
      <c r="T99" s="6" t="s">
        <v>101</v>
      </c>
    </row>
    <row r="100">
      <c r="B100" s="6" t="s">
        <v>271</v>
      </c>
      <c r="C100" s="7" t="str">
        <f t="shared" si="1"/>
        <v>BBC</v>
      </c>
      <c r="D100" s="7" t="s">
        <v>30</v>
      </c>
      <c r="E100" s="7"/>
      <c r="F100" s="8" t="s">
        <v>272</v>
      </c>
      <c r="G100" s="7"/>
      <c r="H100" s="10"/>
      <c r="I100" s="10"/>
      <c r="J100" s="10"/>
      <c r="K100" s="10"/>
      <c r="L100" s="6"/>
      <c r="M100" s="7"/>
      <c r="N100" s="6">
        <v>0.0</v>
      </c>
      <c r="O100" s="6" t="s">
        <v>25</v>
      </c>
      <c r="P100" s="6"/>
      <c r="Q100" s="6">
        <v>1.0</v>
      </c>
      <c r="R100" s="6" t="s">
        <v>26</v>
      </c>
      <c r="S100" s="6" t="s">
        <v>27</v>
      </c>
      <c r="T100" s="6" t="s">
        <v>101</v>
      </c>
    </row>
    <row r="101">
      <c r="B101" s="6" t="s">
        <v>273</v>
      </c>
      <c r="C101" s="7" t="str">
        <f t="shared" si="1"/>
        <v>BBC</v>
      </c>
      <c r="D101" s="7" t="s">
        <v>30</v>
      </c>
      <c r="E101" s="7"/>
      <c r="F101" s="8" t="s">
        <v>274</v>
      </c>
      <c r="G101" s="7"/>
      <c r="H101" s="10"/>
      <c r="I101" s="10"/>
      <c r="J101" s="10"/>
      <c r="K101" s="10"/>
      <c r="L101" s="6"/>
      <c r="M101" s="7"/>
      <c r="N101" s="6">
        <v>0.0</v>
      </c>
      <c r="O101" s="6" t="s">
        <v>25</v>
      </c>
      <c r="P101" s="6"/>
      <c r="Q101" s="6">
        <v>1.0</v>
      </c>
      <c r="R101" s="6" t="s">
        <v>26</v>
      </c>
      <c r="S101" s="6" t="s">
        <v>27</v>
      </c>
      <c r="T101" s="6" t="s">
        <v>56</v>
      </c>
    </row>
    <row r="102">
      <c r="B102" s="6" t="s">
        <v>275</v>
      </c>
      <c r="C102" s="7" t="str">
        <f t="shared" si="1"/>
        <v>BBC</v>
      </c>
      <c r="D102" s="7" t="s">
        <v>30</v>
      </c>
      <c r="E102" s="7"/>
      <c r="F102" s="8" t="s">
        <v>276</v>
      </c>
      <c r="G102" s="7"/>
      <c r="H102" s="10"/>
      <c r="I102" s="10"/>
      <c r="J102" s="10"/>
      <c r="K102" s="10"/>
      <c r="L102" s="6"/>
      <c r="M102" s="7"/>
      <c r="N102" s="6">
        <v>0.0</v>
      </c>
      <c r="O102" s="6" t="s">
        <v>25</v>
      </c>
      <c r="P102" s="6"/>
      <c r="Q102" s="6">
        <v>1.0</v>
      </c>
      <c r="R102" s="6" t="s">
        <v>26</v>
      </c>
      <c r="S102" s="6" t="s">
        <v>27</v>
      </c>
      <c r="T102" s="6" t="s">
        <v>32</v>
      </c>
    </row>
    <row r="103">
      <c r="B103" s="6" t="s">
        <v>277</v>
      </c>
      <c r="C103" s="7" t="str">
        <f t="shared" si="1"/>
        <v>BBC</v>
      </c>
      <c r="D103" s="7" t="s">
        <v>20</v>
      </c>
      <c r="E103" s="7"/>
      <c r="F103" s="8" t="s">
        <v>278</v>
      </c>
      <c r="G103" s="7"/>
      <c r="H103" s="10"/>
      <c r="I103" s="10"/>
      <c r="J103" s="10"/>
      <c r="K103" s="10"/>
      <c r="L103" s="6"/>
      <c r="M103" s="7"/>
      <c r="N103" s="6">
        <v>1.0</v>
      </c>
      <c r="O103" s="6" t="s">
        <v>25</v>
      </c>
      <c r="P103" s="6"/>
      <c r="Q103" s="6">
        <v>1.0</v>
      </c>
      <c r="R103" s="6" t="s">
        <v>26</v>
      </c>
      <c r="S103" s="6" t="s">
        <v>27</v>
      </c>
      <c r="T103" s="6" t="s">
        <v>131</v>
      </c>
    </row>
    <row r="104">
      <c r="B104" s="6" t="s">
        <v>279</v>
      </c>
      <c r="C104" s="7" t="str">
        <f t="shared" si="1"/>
        <v>BBC</v>
      </c>
      <c r="D104" s="7" t="s">
        <v>30</v>
      </c>
      <c r="E104" s="7"/>
      <c r="F104" s="8" t="s">
        <v>280</v>
      </c>
      <c r="G104" s="7"/>
      <c r="H104" s="10"/>
      <c r="I104" s="10"/>
      <c r="J104" s="10"/>
      <c r="K104" s="10"/>
      <c r="L104" s="6"/>
      <c r="M104" s="7"/>
      <c r="N104" s="6">
        <v>1.0</v>
      </c>
      <c r="O104" s="6" t="s">
        <v>25</v>
      </c>
      <c r="P104" s="6"/>
      <c r="Q104" s="6">
        <v>1.0</v>
      </c>
      <c r="R104" s="6" t="s">
        <v>26</v>
      </c>
      <c r="S104" s="6" t="s">
        <v>27</v>
      </c>
      <c r="T104" s="6" t="s">
        <v>85</v>
      </c>
    </row>
    <row r="105">
      <c r="B105" s="6" t="s">
        <v>281</v>
      </c>
      <c r="C105" s="7" t="str">
        <f t="shared" si="1"/>
        <v>BBC</v>
      </c>
      <c r="D105" s="7" t="s">
        <v>30</v>
      </c>
      <c r="E105" s="7"/>
      <c r="F105" s="8" t="s">
        <v>282</v>
      </c>
      <c r="G105" s="7"/>
      <c r="H105" s="10"/>
      <c r="I105" s="10"/>
      <c r="J105" s="10"/>
      <c r="K105" s="10"/>
      <c r="L105" s="6"/>
      <c r="M105" s="7"/>
      <c r="N105" s="6">
        <v>1.0</v>
      </c>
      <c r="O105" s="6" t="s">
        <v>25</v>
      </c>
      <c r="P105" s="6"/>
      <c r="Q105" s="6">
        <v>1.0</v>
      </c>
      <c r="R105" s="6" t="s">
        <v>26</v>
      </c>
      <c r="S105" s="6" t="s">
        <v>27</v>
      </c>
      <c r="T105" s="6" t="s">
        <v>64</v>
      </c>
    </row>
    <row r="106">
      <c r="B106" s="6" t="s">
        <v>283</v>
      </c>
      <c r="C106" s="7" t="str">
        <f t="shared" si="1"/>
        <v>BBC</v>
      </c>
      <c r="D106" s="7" t="s">
        <v>30</v>
      </c>
      <c r="E106" s="7"/>
      <c r="F106" s="8" t="s">
        <v>284</v>
      </c>
      <c r="G106" s="7"/>
      <c r="H106" s="10"/>
      <c r="I106" s="10"/>
      <c r="J106" s="10"/>
      <c r="K106" s="10"/>
      <c r="L106" s="6"/>
      <c r="M106" s="7"/>
      <c r="N106" s="6">
        <v>0.0</v>
      </c>
      <c r="O106" s="6" t="s">
        <v>25</v>
      </c>
      <c r="P106" s="6"/>
      <c r="Q106" s="6">
        <v>1.0</v>
      </c>
      <c r="R106" s="6" t="s">
        <v>26</v>
      </c>
      <c r="S106" s="6" t="s">
        <v>27</v>
      </c>
      <c r="T106" s="6" t="s">
        <v>285</v>
      </c>
    </row>
    <row r="107">
      <c r="B107" s="6" t="s">
        <v>286</v>
      </c>
      <c r="C107" s="7" t="str">
        <f t="shared" si="1"/>
        <v>BBC</v>
      </c>
      <c r="D107" s="7" t="s">
        <v>20</v>
      </c>
      <c r="E107" s="7"/>
      <c r="F107" s="8" t="s">
        <v>287</v>
      </c>
      <c r="G107" s="7"/>
      <c r="H107" s="10"/>
      <c r="I107" s="10"/>
      <c r="J107" s="10"/>
      <c r="K107" s="10"/>
      <c r="L107" s="6"/>
      <c r="M107" s="7"/>
      <c r="N107" s="6">
        <v>1.0</v>
      </c>
      <c r="O107" s="6" t="s">
        <v>25</v>
      </c>
      <c r="P107" s="6"/>
      <c r="Q107" s="6">
        <v>1.0</v>
      </c>
      <c r="R107" s="6" t="s">
        <v>26</v>
      </c>
      <c r="S107" s="6" t="s">
        <v>27</v>
      </c>
      <c r="T107" s="6" t="s">
        <v>76</v>
      </c>
    </row>
    <row r="108">
      <c r="B108" s="6" t="s">
        <v>288</v>
      </c>
      <c r="C108" s="7" t="str">
        <f t="shared" si="1"/>
        <v>BBC</v>
      </c>
      <c r="D108" s="7" t="s">
        <v>30</v>
      </c>
      <c r="E108" s="7"/>
      <c r="F108" s="8" t="s">
        <v>289</v>
      </c>
      <c r="G108" s="7"/>
      <c r="H108" s="10"/>
      <c r="I108" s="10"/>
      <c r="J108" s="10"/>
      <c r="K108" s="10"/>
      <c r="L108" s="6"/>
      <c r="M108" s="7"/>
      <c r="N108" s="6">
        <v>1.0</v>
      </c>
      <c r="O108" s="6" t="s">
        <v>25</v>
      </c>
      <c r="P108" s="6"/>
      <c r="Q108" s="6">
        <v>1.0</v>
      </c>
      <c r="R108" s="6" t="s">
        <v>26</v>
      </c>
      <c r="S108" s="6" t="s">
        <v>27</v>
      </c>
      <c r="T108" s="6" t="s">
        <v>76</v>
      </c>
    </row>
    <row r="109">
      <c r="B109" s="6" t="s">
        <v>290</v>
      </c>
      <c r="C109" s="7" t="str">
        <f t="shared" si="1"/>
        <v>BBC</v>
      </c>
      <c r="D109" s="7" t="s">
        <v>20</v>
      </c>
      <c r="E109" s="7"/>
      <c r="F109" s="8" t="s">
        <v>291</v>
      </c>
      <c r="G109" s="7"/>
      <c r="H109" s="10"/>
      <c r="I109" s="10"/>
      <c r="J109" s="10"/>
      <c r="K109" s="10"/>
      <c r="L109" s="6"/>
      <c r="M109" s="7"/>
      <c r="N109" s="6">
        <v>1.0</v>
      </c>
      <c r="O109" s="6" t="s">
        <v>25</v>
      </c>
      <c r="P109" s="6"/>
      <c r="Q109" s="6">
        <v>1.0</v>
      </c>
      <c r="R109" s="6" t="s">
        <v>26</v>
      </c>
      <c r="S109" s="6" t="s">
        <v>27</v>
      </c>
      <c r="T109" s="6" t="s">
        <v>241</v>
      </c>
    </row>
    <row r="110">
      <c r="B110" s="6" t="s">
        <v>292</v>
      </c>
      <c r="C110" s="7" t="str">
        <f t="shared" si="1"/>
        <v/>
      </c>
      <c r="D110" s="7" t="s">
        <v>50</v>
      </c>
      <c r="E110" s="7">
        <v>7.0</v>
      </c>
      <c r="F110" s="1"/>
      <c r="G110" s="8" t="s">
        <v>293</v>
      </c>
      <c r="H110" s="9" t="str">
        <f t="shared" ref="H110:H112" si="23">LEFT(G110, LEN(G110)-1)</f>
        <v>https://www.bellingcat.com</v>
      </c>
      <c r="I110" s="9" t="str">
        <f>IFERROR(__xludf.DUMMYFUNCTION("IF(REGEXMATCH(H110,""www""),RIGHT(H110,LEN(H110)-FIND(""."",H110)+0),if(regexmatch(H110,""https://""),right(H110,len(H110)-find(""/"",H110)-1),H110))"),"bellingcat.com")</f>
        <v>bellingcat.com</v>
      </c>
      <c r="J110" s="9" t="str">
        <f t="shared" ref="J110:J112" si="24">I110</f>
        <v>bellingcat.com</v>
      </c>
      <c r="K110" s="9" t="s">
        <v>23</v>
      </c>
      <c r="L110" s="6" t="s">
        <v>24</v>
      </c>
      <c r="M110" s="8" t="str">
        <f t="shared" ref="M110:M112" si="25">K110&amp;J110&amp;L110</f>
        <v>https://newsapi.org/v2/everything?domains=bellingcat.com&amp;apiKey=ae2ad3e68d4e4daca149bbfb9b61c010</v>
      </c>
      <c r="N110" s="13">
        <v>0.0</v>
      </c>
      <c r="O110" s="14" t="s">
        <v>25</v>
      </c>
      <c r="P110" s="14"/>
      <c r="Q110" s="15">
        <v>1.0</v>
      </c>
      <c r="R110" s="6" t="s">
        <v>26</v>
      </c>
      <c r="S110" s="14" t="s">
        <v>27</v>
      </c>
      <c r="T110" s="16" t="s">
        <v>241</v>
      </c>
    </row>
    <row r="111">
      <c r="B111" s="6" t="s">
        <v>294</v>
      </c>
      <c r="C111" s="7" t="str">
        <f t="shared" si="1"/>
        <v/>
      </c>
      <c r="D111" s="7" t="s">
        <v>20</v>
      </c>
      <c r="E111" s="7"/>
      <c r="F111" s="8" t="s">
        <v>295</v>
      </c>
      <c r="G111" s="8" t="s">
        <v>296</v>
      </c>
      <c r="H111" s="9" t="str">
        <f t="shared" si="23"/>
        <v>https://benwatchesthings.com</v>
      </c>
      <c r="I111" s="9" t="str">
        <f>IFERROR(__xludf.DUMMYFUNCTION("IF(REGEXMATCH(H111,""www""),RIGHT(H111,LEN(H111)-FIND(""."",H111)+0),if(regexmatch(H111,""https://""),right(H111,len(H111)-find(""/"",H111)-1),H111))"),"benwatchesthings.com")</f>
        <v>benwatchesthings.com</v>
      </c>
      <c r="J111" s="9" t="str">
        <f t="shared" si="24"/>
        <v>benwatchesthings.com</v>
      </c>
      <c r="K111" s="9" t="s">
        <v>23</v>
      </c>
      <c r="L111" s="6" t="s">
        <v>176</v>
      </c>
      <c r="M111" s="8" t="str">
        <f t="shared" si="25"/>
        <v>https://newsapi.org/v2/everything?domains=benwatchesthings.com&amp;apiKey=7d4cb29b783f48c8a1837901e959f134</v>
      </c>
      <c r="N111" s="6">
        <v>0.0</v>
      </c>
      <c r="O111" s="6" t="s">
        <v>39</v>
      </c>
      <c r="P111" s="6"/>
      <c r="Q111" s="6">
        <v>1.0</v>
      </c>
      <c r="R111" s="6" t="s">
        <v>26</v>
      </c>
      <c r="S111" s="6" t="s">
        <v>27</v>
      </c>
      <c r="T111" s="6" t="s">
        <v>90</v>
      </c>
    </row>
    <row r="112">
      <c r="B112" s="6" t="s">
        <v>297</v>
      </c>
      <c r="C112" s="7" t="str">
        <f t="shared" si="1"/>
        <v/>
      </c>
      <c r="D112" s="7" t="s">
        <v>20</v>
      </c>
      <c r="E112" s="7"/>
      <c r="F112" s="8" t="s">
        <v>298</v>
      </c>
      <c r="G112" s="8" t="s">
        <v>299</v>
      </c>
      <c r="H112" s="9" t="str">
        <f t="shared" si="23"/>
        <v>https://notstatschat.rbind.io</v>
      </c>
      <c r="I112" s="9" t="str">
        <f>IFERROR(__xludf.DUMMYFUNCTION("IF(REGEXMATCH(H112,""www""),RIGHT(H112,LEN(H112)-FIND(""."",H112)+0),if(regexmatch(H112,""https://""),right(H112,len(H112)-find(""/"",H112)-1),H112))"),"notstatschat.rbind.io")</f>
        <v>notstatschat.rbind.io</v>
      </c>
      <c r="J112" s="9" t="str">
        <f t="shared" si="24"/>
        <v>notstatschat.rbind.io</v>
      </c>
      <c r="K112" s="9" t="s">
        <v>23</v>
      </c>
      <c r="L112" s="6" t="s">
        <v>176</v>
      </c>
      <c r="M112" s="8" t="str">
        <f t="shared" si="25"/>
        <v>https://newsapi.org/v2/everything?domains=notstatschat.rbind.io&amp;apiKey=7d4cb29b783f48c8a1837901e959f134</v>
      </c>
      <c r="N112" s="6">
        <v>0.0</v>
      </c>
      <c r="O112" s="6" t="s">
        <v>39</v>
      </c>
      <c r="P112" s="6"/>
      <c r="Q112" s="6">
        <v>1.0</v>
      </c>
      <c r="R112" s="6" t="s">
        <v>26</v>
      </c>
      <c r="S112" s="6" t="s">
        <v>27</v>
      </c>
      <c r="T112" s="6" t="s">
        <v>300</v>
      </c>
    </row>
    <row r="113">
      <c r="B113" s="6" t="s">
        <v>301</v>
      </c>
      <c r="C113" s="7" t="str">
        <f t="shared" si="1"/>
        <v/>
      </c>
      <c r="D113" s="7" t="s">
        <v>20</v>
      </c>
      <c r="E113" s="1"/>
      <c r="F113" s="11" t="s">
        <v>302</v>
      </c>
      <c r="G113" s="1"/>
      <c r="M113" s="1"/>
      <c r="N113" s="6">
        <v>0.0</v>
      </c>
      <c r="O113" s="6" t="s">
        <v>43</v>
      </c>
      <c r="P113" s="6"/>
      <c r="Q113" s="6">
        <v>1.0</v>
      </c>
      <c r="R113" s="6" t="s">
        <v>26</v>
      </c>
      <c r="S113" s="6" t="s">
        <v>27</v>
      </c>
      <c r="T113" s="6" t="s">
        <v>48</v>
      </c>
    </row>
    <row r="114">
      <c r="B114" s="6" t="s">
        <v>303</v>
      </c>
      <c r="C114" s="7" t="str">
        <f t="shared" si="1"/>
        <v>Big Think</v>
      </c>
      <c r="D114" s="7" t="s">
        <v>30</v>
      </c>
      <c r="E114" s="7"/>
      <c r="F114" s="8" t="s">
        <v>304</v>
      </c>
      <c r="G114" s="7"/>
      <c r="H114" s="10"/>
      <c r="I114" s="10"/>
      <c r="J114" s="10"/>
      <c r="K114" s="10"/>
      <c r="L114" s="6"/>
      <c r="M114" s="7"/>
      <c r="N114" s="6">
        <v>0.0</v>
      </c>
      <c r="O114" s="6" t="s">
        <v>25</v>
      </c>
      <c r="P114" s="6"/>
      <c r="Q114" s="6">
        <v>1.0</v>
      </c>
      <c r="R114" s="6" t="s">
        <v>26</v>
      </c>
      <c r="S114" s="6" t="s">
        <v>27</v>
      </c>
      <c r="T114" s="6" t="s">
        <v>101</v>
      </c>
    </row>
    <row r="115">
      <c r="B115" s="6" t="s">
        <v>305</v>
      </c>
      <c r="C115" s="7" t="str">
        <f t="shared" si="1"/>
        <v>Big Think</v>
      </c>
      <c r="D115" s="7" t="s">
        <v>30</v>
      </c>
      <c r="E115" s="7"/>
      <c r="F115" s="8" t="s">
        <v>306</v>
      </c>
      <c r="G115" s="7"/>
      <c r="H115" s="10"/>
      <c r="I115" s="10"/>
      <c r="J115" s="10"/>
      <c r="K115" s="10"/>
      <c r="L115" s="6"/>
      <c r="M115" s="7"/>
      <c r="N115" s="6">
        <v>0.0</v>
      </c>
      <c r="O115" s="6" t="s">
        <v>25</v>
      </c>
      <c r="P115" s="6"/>
      <c r="Q115" s="6">
        <v>1.0</v>
      </c>
      <c r="R115" s="6" t="s">
        <v>26</v>
      </c>
      <c r="S115" s="6" t="s">
        <v>27</v>
      </c>
      <c r="T115" s="6" t="s">
        <v>67</v>
      </c>
    </row>
    <row r="116">
      <c r="B116" s="6" t="s">
        <v>307</v>
      </c>
      <c r="C116" s="7" t="str">
        <f t="shared" si="1"/>
        <v>Big Think</v>
      </c>
      <c r="D116" s="7" t="s">
        <v>30</v>
      </c>
      <c r="E116" s="7"/>
      <c r="F116" s="8" t="s">
        <v>308</v>
      </c>
      <c r="G116" s="7"/>
      <c r="H116" s="10"/>
      <c r="I116" s="10"/>
      <c r="J116" s="10"/>
      <c r="K116" s="10"/>
      <c r="L116" s="6"/>
      <c r="M116" s="7"/>
      <c r="N116" s="6">
        <v>0.0</v>
      </c>
      <c r="O116" s="6" t="s">
        <v>25</v>
      </c>
      <c r="P116" s="6"/>
      <c r="Q116" s="6">
        <v>1.0</v>
      </c>
      <c r="R116" s="6" t="s">
        <v>26</v>
      </c>
      <c r="S116" s="6" t="s">
        <v>27</v>
      </c>
      <c r="T116" s="6" t="s">
        <v>128</v>
      </c>
    </row>
    <row r="117">
      <c r="B117" s="6" t="s">
        <v>309</v>
      </c>
      <c r="C117" s="7" t="str">
        <f t="shared" si="1"/>
        <v>Big Think</v>
      </c>
      <c r="D117" s="7" t="s">
        <v>30</v>
      </c>
      <c r="E117" s="7"/>
      <c r="F117" s="8" t="s">
        <v>310</v>
      </c>
      <c r="G117" s="7"/>
      <c r="H117" s="10"/>
      <c r="I117" s="10"/>
      <c r="J117" s="10"/>
      <c r="K117" s="10"/>
      <c r="L117" s="6"/>
      <c r="M117" s="7"/>
      <c r="N117" s="6">
        <v>0.0</v>
      </c>
      <c r="O117" s="6" t="s">
        <v>25</v>
      </c>
      <c r="P117" s="6"/>
      <c r="Q117" s="6">
        <v>1.0</v>
      </c>
      <c r="R117" s="6" t="s">
        <v>26</v>
      </c>
      <c r="S117" s="6" t="s">
        <v>27</v>
      </c>
      <c r="T117" s="6" t="s">
        <v>131</v>
      </c>
    </row>
    <row r="118">
      <c r="B118" s="6" t="s">
        <v>311</v>
      </c>
      <c r="C118" s="7" t="str">
        <f t="shared" si="1"/>
        <v>Big Think</v>
      </c>
      <c r="D118" s="7" t="s">
        <v>30</v>
      </c>
      <c r="E118" s="7"/>
      <c r="F118" s="8" t="s">
        <v>312</v>
      </c>
      <c r="G118" s="7"/>
      <c r="H118" s="10"/>
      <c r="I118" s="10"/>
      <c r="J118" s="10"/>
      <c r="K118" s="10"/>
      <c r="L118" s="6"/>
      <c r="M118" s="7"/>
      <c r="N118" s="6">
        <v>0.0</v>
      </c>
      <c r="O118" s="6" t="s">
        <v>25</v>
      </c>
      <c r="P118" s="6"/>
      <c r="Q118" s="6">
        <v>1.0</v>
      </c>
      <c r="R118" s="6" t="s">
        <v>26</v>
      </c>
      <c r="S118" s="6" t="s">
        <v>27</v>
      </c>
      <c r="T118" s="6" t="s">
        <v>223</v>
      </c>
    </row>
    <row r="119">
      <c r="B119" s="6" t="s">
        <v>313</v>
      </c>
      <c r="C119" s="7" t="str">
        <f t="shared" si="1"/>
        <v>Big Think</v>
      </c>
      <c r="D119" s="7" t="s">
        <v>30</v>
      </c>
      <c r="E119" s="7"/>
      <c r="F119" s="8" t="s">
        <v>314</v>
      </c>
      <c r="G119" s="7"/>
      <c r="H119" s="10"/>
      <c r="I119" s="10"/>
      <c r="J119" s="10"/>
      <c r="K119" s="10"/>
      <c r="L119" s="6"/>
      <c r="M119" s="7"/>
      <c r="N119" s="6">
        <v>0.0</v>
      </c>
      <c r="O119" s="6" t="s">
        <v>25</v>
      </c>
      <c r="P119" s="6"/>
      <c r="Q119" s="6">
        <v>1.0</v>
      </c>
      <c r="R119" s="6" t="s">
        <v>26</v>
      </c>
      <c r="S119" s="6" t="s">
        <v>27</v>
      </c>
      <c r="T119" s="6" t="s">
        <v>76</v>
      </c>
    </row>
    <row r="120">
      <c r="B120" s="6" t="s">
        <v>315</v>
      </c>
      <c r="C120" s="7" t="str">
        <f t="shared" si="1"/>
        <v>Big Think</v>
      </c>
      <c r="D120" s="7" t="s">
        <v>30</v>
      </c>
      <c r="E120" s="7"/>
      <c r="F120" s="8" t="s">
        <v>316</v>
      </c>
      <c r="G120" s="7"/>
      <c r="H120" s="10"/>
      <c r="I120" s="10"/>
      <c r="J120" s="10"/>
      <c r="K120" s="10"/>
      <c r="L120" s="6"/>
      <c r="M120" s="7"/>
      <c r="N120" s="6">
        <v>0.0</v>
      </c>
      <c r="O120" s="6" t="s">
        <v>25</v>
      </c>
      <c r="P120" s="6"/>
      <c r="Q120" s="6">
        <v>1.0</v>
      </c>
      <c r="R120" s="6" t="s">
        <v>26</v>
      </c>
      <c r="S120" s="6" t="s">
        <v>27</v>
      </c>
      <c r="T120" s="6" t="s">
        <v>73</v>
      </c>
    </row>
    <row r="121">
      <c r="B121" s="6" t="s">
        <v>317</v>
      </c>
      <c r="C121" s="7" t="str">
        <f t="shared" si="1"/>
        <v>Big Think</v>
      </c>
      <c r="D121" s="7" t="s">
        <v>30</v>
      </c>
      <c r="E121" s="7"/>
      <c r="F121" s="8" t="s">
        <v>318</v>
      </c>
      <c r="G121" s="7"/>
      <c r="H121" s="10"/>
      <c r="I121" s="10"/>
      <c r="J121" s="10"/>
      <c r="K121" s="10"/>
      <c r="L121" s="6"/>
      <c r="M121" s="7"/>
      <c r="N121" s="6">
        <v>0.0</v>
      </c>
      <c r="O121" s="6" t="s">
        <v>25</v>
      </c>
      <c r="P121" s="6"/>
      <c r="Q121" s="6">
        <v>1.0</v>
      </c>
      <c r="R121" s="6" t="s">
        <v>26</v>
      </c>
      <c r="S121" s="6" t="s">
        <v>27</v>
      </c>
      <c r="T121" s="6" t="s">
        <v>56</v>
      </c>
    </row>
    <row r="122">
      <c r="B122" s="6" t="s">
        <v>319</v>
      </c>
      <c r="C122" s="7" t="str">
        <f t="shared" si="1"/>
        <v>Big Think</v>
      </c>
      <c r="D122" s="7" t="s">
        <v>30</v>
      </c>
      <c r="E122" s="7"/>
      <c r="F122" s="8" t="s">
        <v>320</v>
      </c>
      <c r="G122" s="7"/>
      <c r="H122" s="10"/>
      <c r="I122" s="10"/>
      <c r="J122" s="10"/>
      <c r="K122" s="10"/>
      <c r="L122" s="6"/>
      <c r="M122" s="7"/>
      <c r="N122" s="6">
        <v>0.0</v>
      </c>
      <c r="O122" s="6" t="s">
        <v>25</v>
      </c>
      <c r="P122" s="6"/>
      <c r="Q122" s="6">
        <v>1.0</v>
      </c>
      <c r="R122" s="6" t="s">
        <v>26</v>
      </c>
      <c r="S122" s="6" t="s">
        <v>27</v>
      </c>
      <c r="T122" s="6" t="s">
        <v>28</v>
      </c>
    </row>
    <row r="123">
      <c r="B123" s="6" t="s">
        <v>321</v>
      </c>
      <c r="C123" s="7" t="str">
        <f t="shared" si="1"/>
        <v/>
      </c>
      <c r="D123" s="7" t="s">
        <v>20</v>
      </c>
      <c r="E123" s="7"/>
      <c r="F123" s="8" t="s">
        <v>322</v>
      </c>
      <c r="G123" s="8" t="s">
        <v>323</v>
      </c>
      <c r="H123" s="9" t="str">
        <f>LEFT(G123, LEN(G123)-1)</f>
        <v>http://bioscriptionblog.com</v>
      </c>
      <c r="I123" s="9" t="str">
        <f>IFERROR(__xludf.DUMMYFUNCTION("IF(REGEXMATCH(H123,""www""),RIGHT(H123,LEN(H123)-FIND(""."",H123)+0),if(regexmatch(H123,""https://""),right(H123,len(H123)-find(""/"",H123)-1),H123))"),"http://bioscriptionblog.com")</f>
        <v>http://bioscriptionblog.com</v>
      </c>
      <c r="J123" s="9" t="str">
        <f>I123</f>
        <v>http://bioscriptionblog.com</v>
      </c>
      <c r="K123" s="9" t="s">
        <v>23</v>
      </c>
      <c r="L123" s="6" t="s">
        <v>24</v>
      </c>
      <c r="M123" s="8" t="str">
        <f>K123&amp;J123&amp;L123</f>
        <v>https://newsapi.org/v2/everything?domains=http://bioscriptionblog.com&amp;apiKey=ae2ad3e68d4e4daca149bbfb9b61c010</v>
      </c>
      <c r="N123" s="6">
        <v>1.0</v>
      </c>
      <c r="O123" s="6" t="s">
        <v>25</v>
      </c>
      <c r="P123" s="6"/>
      <c r="Q123" s="6">
        <v>1.0</v>
      </c>
      <c r="R123" s="6" t="s">
        <v>26</v>
      </c>
      <c r="S123" s="6" t="s">
        <v>27</v>
      </c>
      <c r="T123" s="6" t="s">
        <v>101</v>
      </c>
    </row>
    <row r="124">
      <c r="B124" s="6" t="s">
        <v>324</v>
      </c>
      <c r="C124" s="7" t="str">
        <f t="shared" si="1"/>
        <v/>
      </c>
      <c r="D124" s="7" t="s">
        <v>20</v>
      </c>
      <c r="E124" s="1"/>
      <c r="F124" s="8" t="s">
        <v>325</v>
      </c>
      <c r="G124" s="1"/>
      <c r="M124" s="1"/>
      <c r="N124" s="6">
        <v>1.0</v>
      </c>
      <c r="O124" s="6" t="s">
        <v>25</v>
      </c>
      <c r="P124" s="6"/>
      <c r="Q124" s="6">
        <v>1.0</v>
      </c>
      <c r="R124" s="6" t="s">
        <v>26</v>
      </c>
      <c r="S124" s="6" t="s">
        <v>27</v>
      </c>
      <c r="T124" s="6" t="s">
        <v>245</v>
      </c>
    </row>
    <row r="125">
      <c r="B125" s="6" t="s">
        <v>326</v>
      </c>
      <c r="C125" s="7" t="str">
        <f t="shared" si="1"/>
        <v/>
      </c>
      <c r="D125" s="7" t="s">
        <v>20</v>
      </c>
      <c r="F125" s="8" t="s">
        <v>327</v>
      </c>
      <c r="G125" s="8" t="s">
        <v>328</v>
      </c>
      <c r="H125" s="9" t="str">
        <f t="shared" ref="H125:H126" si="26">LEFT(G125, LEN(G125)-1)</f>
        <v>https://www.blindfiveyearold.com</v>
      </c>
      <c r="I125" s="9" t="str">
        <f>IFERROR(__xludf.DUMMYFUNCTION("IF(REGEXMATCH(H125,""www""),RIGHT(H125,LEN(H125)-FIND(""."",H125)+0),if(regexmatch(H125,""https://""),right(H125,len(H125)-find(""/"",H125)-1),H125))"),"blindfiveyearold.com")</f>
        <v>blindfiveyearold.com</v>
      </c>
      <c r="J125" s="9" t="str">
        <f t="shared" ref="J125:J126" si="27">I125</f>
        <v>blindfiveyearold.com</v>
      </c>
      <c r="K125" s="9" t="s">
        <v>23</v>
      </c>
      <c r="L125" s="6" t="s">
        <v>24</v>
      </c>
      <c r="M125" s="8" t="str">
        <f t="shared" ref="M125:M126" si="28">K125&amp;J125&amp;L125</f>
        <v>https://newsapi.org/v2/everything?domains=blindfiveyearold.com&amp;apiKey=ae2ad3e68d4e4daca149bbfb9b61c010</v>
      </c>
      <c r="N125" s="6">
        <v>0.0</v>
      </c>
      <c r="O125" s="6" t="s">
        <v>39</v>
      </c>
      <c r="P125" s="6"/>
      <c r="Q125" s="6">
        <v>1.0</v>
      </c>
      <c r="R125" s="6" t="s">
        <v>26</v>
      </c>
      <c r="S125" s="6" t="s">
        <v>27</v>
      </c>
      <c r="T125" s="6" t="s">
        <v>329</v>
      </c>
    </row>
    <row r="126">
      <c r="B126" s="6" t="s">
        <v>330</v>
      </c>
      <c r="C126" s="7" t="str">
        <f t="shared" si="1"/>
        <v/>
      </c>
      <c r="D126" s="7" t="s">
        <v>20</v>
      </c>
      <c r="E126" s="7"/>
      <c r="F126" s="8" t="s">
        <v>331</v>
      </c>
      <c r="G126" s="8" t="s">
        <v>332</v>
      </c>
      <c r="H126" s="9" t="str">
        <f t="shared" si="26"/>
        <v>https://www.booooooom.com</v>
      </c>
      <c r="I126" s="9" t="str">
        <f>IFERROR(__xludf.DUMMYFUNCTION("IF(REGEXMATCH(H126,""www""),RIGHT(H126,LEN(H126)-FIND(""."",H126)+0),if(regexmatch(H126,""https://""),right(H126,len(H126)-find(""/"",H126)-1),H126))"),"booooooom.com")</f>
        <v>booooooom.com</v>
      </c>
      <c r="J126" s="9" t="str">
        <f t="shared" si="27"/>
        <v>booooooom.com</v>
      </c>
      <c r="K126" s="9" t="s">
        <v>23</v>
      </c>
      <c r="L126" s="6" t="s">
        <v>176</v>
      </c>
      <c r="M126" s="8" t="str">
        <f t="shared" si="28"/>
        <v>https://newsapi.org/v2/everything?domains=booooooom.com&amp;apiKey=7d4cb29b783f48c8a1837901e959f134</v>
      </c>
      <c r="N126" s="6">
        <v>0.0</v>
      </c>
      <c r="O126" s="6" t="s">
        <v>25</v>
      </c>
      <c r="P126" s="6"/>
      <c r="Q126" s="6">
        <v>1.0</v>
      </c>
      <c r="R126" s="6" t="s">
        <v>26</v>
      </c>
      <c r="S126" s="6" t="s">
        <v>27</v>
      </c>
      <c r="T126" s="6" t="s">
        <v>333</v>
      </c>
    </row>
    <row r="127">
      <c r="B127" s="6" t="s">
        <v>334</v>
      </c>
      <c r="C127" s="7" t="str">
        <f t="shared" si="1"/>
        <v/>
      </c>
      <c r="D127" s="7" t="s">
        <v>20</v>
      </c>
      <c r="E127" s="1"/>
      <c r="F127" s="11" t="s">
        <v>335</v>
      </c>
      <c r="G127" s="1"/>
      <c r="M127" s="1"/>
      <c r="N127" s="6">
        <v>0.0</v>
      </c>
      <c r="O127" s="6" t="s">
        <v>43</v>
      </c>
      <c r="P127" s="6"/>
      <c r="Q127" s="6">
        <v>1.0</v>
      </c>
      <c r="R127" s="6" t="s">
        <v>26</v>
      </c>
      <c r="S127" s="6" t="s">
        <v>27</v>
      </c>
      <c r="T127" s="6" t="s">
        <v>145</v>
      </c>
    </row>
    <row r="128">
      <c r="B128" s="6" t="s">
        <v>336</v>
      </c>
      <c r="C128" s="7" t="str">
        <f t="shared" si="1"/>
        <v/>
      </c>
      <c r="D128" s="7" t="s">
        <v>50</v>
      </c>
      <c r="E128" s="7">
        <v>10.0</v>
      </c>
      <c r="F128" s="7"/>
      <c r="G128" s="8" t="s">
        <v>337</v>
      </c>
      <c r="H128" s="9" t="str">
        <f t="shared" ref="H128:H129" si="29">LEFT(G128, LEN(G128)-1)</f>
        <v>https://bpando.org</v>
      </c>
      <c r="I128" s="9" t="str">
        <f>IFERROR(__xludf.DUMMYFUNCTION("IF(REGEXMATCH(H128,""www""),RIGHT(H128,LEN(H128)-FIND(""."",H128)+0),if(regexmatch(H128,""https://""),right(H128,len(H128)-find(""/"",H128)-1),H128))"),"bpando.org")</f>
        <v>bpando.org</v>
      </c>
      <c r="J128" s="9" t="str">
        <f t="shared" ref="J128:J129" si="30">I128</f>
        <v>bpando.org</v>
      </c>
      <c r="K128" s="9" t="s">
        <v>23</v>
      </c>
      <c r="L128" s="6" t="s">
        <v>176</v>
      </c>
      <c r="M128" s="8" t="str">
        <f t="shared" ref="M128:M129" si="31">K128&amp;J128&amp;L128</f>
        <v>https://newsapi.org/v2/everything?domains=bpando.org&amp;apiKey=7d4cb29b783f48c8a1837901e959f134</v>
      </c>
      <c r="N128" s="6">
        <v>0.0</v>
      </c>
      <c r="O128" s="6" t="s">
        <v>25</v>
      </c>
      <c r="P128" s="6"/>
      <c r="Q128" s="6">
        <v>1.0</v>
      </c>
      <c r="R128" s="6" t="s">
        <v>26</v>
      </c>
      <c r="S128" s="6" t="s">
        <v>27</v>
      </c>
      <c r="T128" s="6" t="s">
        <v>52</v>
      </c>
    </row>
    <row r="129">
      <c r="B129" s="6" t="s">
        <v>338</v>
      </c>
      <c r="C129" s="7" t="str">
        <f t="shared" si="1"/>
        <v/>
      </c>
      <c r="D129" s="7" t="s">
        <v>30</v>
      </c>
      <c r="E129" s="7"/>
      <c r="F129" s="8" t="s">
        <v>339</v>
      </c>
      <c r="G129" s="8" t="s">
        <v>340</v>
      </c>
      <c r="H129" s="9" t="str">
        <f t="shared" si="29"/>
        <v>https://www.bps.org.uk/psychologis</v>
      </c>
      <c r="I129" s="9" t="str">
        <f>IFERROR(__xludf.DUMMYFUNCTION("IF(REGEXMATCH(H129,""www""),RIGHT(H129,LEN(H129)-FIND(""."",H129)+0),if(regexmatch(H129,""https://""),right(H129,len(H129)-find(""/"",H129)-1),H129))"),"bps.org.uk/psychologis")</f>
        <v>bps.org.uk/psychologis</v>
      </c>
      <c r="J129" s="9" t="str">
        <f t="shared" si="30"/>
        <v>bps.org.uk/psychologis</v>
      </c>
      <c r="K129" s="9" t="s">
        <v>23</v>
      </c>
      <c r="L129" s="6" t="s">
        <v>176</v>
      </c>
      <c r="M129" s="8" t="str">
        <f t="shared" si="31"/>
        <v>https://newsapi.org/v2/everything?domains=bps.org.uk/psychologis&amp;apiKey=7d4cb29b783f48c8a1837901e959f134</v>
      </c>
      <c r="N129" s="6">
        <v>0.0</v>
      </c>
      <c r="O129" s="6" t="s">
        <v>25</v>
      </c>
      <c r="P129" s="6"/>
      <c r="Q129" s="6">
        <v>1.0</v>
      </c>
      <c r="R129" s="6" t="s">
        <v>26</v>
      </c>
      <c r="S129" s="6" t="s">
        <v>27</v>
      </c>
      <c r="T129" s="6" t="s">
        <v>128</v>
      </c>
    </row>
    <row r="130">
      <c r="B130" s="6" t="s">
        <v>341</v>
      </c>
      <c r="C130" s="7" t="str">
        <f t="shared" si="1"/>
        <v/>
      </c>
      <c r="D130" s="7" t="s">
        <v>20</v>
      </c>
      <c r="E130" s="1"/>
      <c r="F130" s="8" t="s">
        <v>342</v>
      </c>
      <c r="G130" s="1"/>
      <c r="M130" s="1"/>
      <c r="N130" s="6">
        <v>0.0</v>
      </c>
      <c r="O130" s="6" t="s">
        <v>43</v>
      </c>
      <c r="P130" s="6"/>
      <c r="Q130" s="6">
        <v>1.0</v>
      </c>
      <c r="R130" s="6" t="s">
        <v>26</v>
      </c>
      <c r="S130" s="6" t="s">
        <v>27</v>
      </c>
      <c r="T130" s="6" t="s">
        <v>226</v>
      </c>
    </row>
    <row r="131">
      <c r="B131" s="6" t="s">
        <v>343</v>
      </c>
      <c r="C131" s="7" t="str">
        <f t="shared" si="1"/>
        <v/>
      </c>
      <c r="D131" s="7" t="s">
        <v>20</v>
      </c>
      <c r="E131" s="1"/>
      <c r="F131" s="11" t="s">
        <v>344</v>
      </c>
      <c r="G131" s="1"/>
      <c r="M131" s="1"/>
      <c r="N131" s="6">
        <v>0.0</v>
      </c>
      <c r="O131" s="6" t="s">
        <v>43</v>
      </c>
      <c r="P131" s="6"/>
      <c r="Q131" s="6">
        <v>1.0</v>
      </c>
      <c r="R131" s="6" t="s">
        <v>26</v>
      </c>
      <c r="S131" s="6" t="s">
        <v>27</v>
      </c>
      <c r="T131" s="6" t="s">
        <v>44</v>
      </c>
    </row>
    <row r="132">
      <c r="B132" s="6" t="s">
        <v>345</v>
      </c>
      <c r="C132" s="7" t="str">
        <f t="shared" si="1"/>
        <v/>
      </c>
      <c r="D132" s="7" t="s">
        <v>50</v>
      </c>
      <c r="E132" s="7">
        <v>100.0</v>
      </c>
      <c r="F132" s="7"/>
      <c r="G132" s="8" t="s">
        <v>346</v>
      </c>
      <c r="H132" s="9" t="str">
        <f t="shared" ref="H132:H135" si="32">LEFT(G132, LEN(G132)-1)</f>
        <v>https://www.brookings.edu</v>
      </c>
      <c r="I132" s="9" t="str">
        <f>IFERROR(__xludf.DUMMYFUNCTION("IF(REGEXMATCH(H132,""www""),RIGHT(H132,LEN(H132)-FIND(""."",H132)+0),if(regexmatch(H132,""https://""),right(H132,len(H132)-find(""/"",H132)-1),H132))"),"brookings.edu")</f>
        <v>brookings.edu</v>
      </c>
      <c r="J132" s="9" t="str">
        <f t="shared" ref="J132:J135" si="33">I132</f>
        <v>brookings.edu</v>
      </c>
      <c r="K132" s="9" t="s">
        <v>23</v>
      </c>
      <c r="L132" s="6" t="s">
        <v>24</v>
      </c>
      <c r="M132" s="8" t="str">
        <f t="shared" ref="M132:M135" si="34">K132&amp;J132&amp;L132</f>
        <v>https://newsapi.org/v2/everything?domains=brookings.edu&amp;apiKey=ae2ad3e68d4e4daca149bbfb9b61c010</v>
      </c>
      <c r="N132" s="6">
        <v>0.0</v>
      </c>
      <c r="O132" s="6" t="s">
        <v>25</v>
      </c>
      <c r="P132" s="6"/>
      <c r="Q132" s="6">
        <v>1.0</v>
      </c>
      <c r="R132" s="6" t="s">
        <v>26</v>
      </c>
      <c r="S132" s="6" t="s">
        <v>27</v>
      </c>
      <c r="T132" s="6" t="s">
        <v>241</v>
      </c>
    </row>
    <row r="133">
      <c r="B133" s="6" t="s">
        <v>347</v>
      </c>
      <c r="C133" s="7" t="str">
        <f t="shared" si="1"/>
        <v/>
      </c>
      <c r="D133" s="7" t="s">
        <v>20</v>
      </c>
      <c r="E133" s="7"/>
      <c r="F133" s="8" t="s">
        <v>348</v>
      </c>
      <c r="G133" s="8" t="s">
        <v>349</v>
      </c>
      <c r="H133" s="9" t="str">
        <f t="shared" si="32"/>
        <v>https://bldgblog.com</v>
      </c>
      <c r="I133" s="9" t="str">
        <f>IFERROR(__xludf.DUMMYFUNCTION("IF(REGEXMATCH(H133,""www""),RIGHT(H133,LEN(H133)-FIND(""."",H133)+0),if(regexmatch(H133,""https://""),right(H133,len(H133)-find(""/"",H133)-1),H133))"),"bldgblog.com")</f>
        <v>bldgblog.com</v>
      </c>
      <c r="J133" s="9" t="str">
        <f t="shared" si="33"/>
        <v>bldgblog.com</v>
      </c>
      <c r="K133" s="9" t="s">
        <v>23</v>
      </c>
      <c r="L133" s="6" t="s">
        <v>24</v>
      </c>
      <c r="M133" s="8" t="str">
        <f t="shared" si="34"/>
        <v>https://newsapi.org/v2/everything?domains=bldgblog.com&amp;apiKey=ae2ad3e68d4e4daca149bbfb9b61c010</v>
      </c>
      <c r="N133" s="6">
        <v>0.0</v>
      </c>
      <c r="O133" s="6" t="s">
        <v>39</v>
      </c>
      <c r="P133" s="6"/>
      <c r="Q133" s="6">
        <v>1.0</v>
      </c>
      <c r="R133" s="6" t="s">
        <v>26</v>
      </c>
      <c r="S133" s="6" t="s">
        <v>27</v>
      </c>
      <c r="T133" s="6" t="s">
        <v>61</v>
      </c>
    </row>
    <row r="134">
      <c r="B134" s="6" t="s">
        <v>350</v>
      </c>
      <c r="C134" s="7" t="str">
        <f t="shared" si="1"/>
        <v/>
      </c>
      <c r="D134" s="7" t="s">
        <v>20</v>
      </c>
      <c r="E134" s="7"/>
      <c r="F134" s="8" t="s">
        <v>351</v>
      </c>
      <c r="G134" s="8" t="s">
        <v>352</v>
      </c>
      <c r="H134" s="9" t="str">
        <f t="shared" si="32"/>
        <v>https://www.businessoffashion.com</v>
      </c>
      <c r="I134" s="9" t="str">
        <f>IFERROR(__xludf.DUMMYFUNCTION("IF(REGEXMATCH(H134,""www""),RIGHT(H134,LEN(H134)-FIND(""."",H134)+0),if(regexmatch(H134,""https://""),right(H134,len(H134)-find(""/"",H134)-1),H134))"),"businessoffashion.com")</f>
        <v>businessoffashion.com</v>
      </c>
      <c r="J134" s="9" t="str">
        <f t="shared" si="33"/>
        <v>businessoffashion.com</v>
      </c>
      <c r="K134" s="9" t="s">
        <v>23</v>
      </c>
      <c r="L134" s="6" t="s">
        <v>176</v>
      </c>
      <c r="M134" s="8" t="str">
        <f t="shared" si="34"/>
        <v>https://newsapi.org/v2/everything?domains=businessoffashion.com&amp;apiKey=7d4cb29b783f48c8a1837901e959f134</v>
      </c>
      <c r="N134" s="6">
        <v>1.0</v>
      </c>
      <c r="O134" s="6" t="s">
        <v>25</v>
      </c>
      <c r="P134" s="6"/>
      <c r="Q134" s="6">
        <v>1.0</v>
      </c>
      <c r="R134" s="6" t="s">
        <v>26</v>
      </c>
      <c r="S134" s="6" t="s">
        <v>27</v>
      </c>
      <c r="T134" s="6" t="s">
        <v>285</v>
      </c>
    </row>
    <row r="135">
      <c r="B135" s="6" t="s">
        <v>353</v>
      </c>
      <c r="C135" s="7" t="str">
        <f t="shared" si="1"/>
        <v/>
      </c>
      <c r="D135" s="7" t="s">
        <v>20</v>
      </c>
      <c r="E135" s="7"/>
      <c r="F135" s="8" t="s">
        <v>354</v>
      </c>
      <c r="G135" s="8" t="s">
        <v>355</v>
      </c>
      <c r="H135" s="9" t="str">
        <f t="shared" si="32"/>
        <v>https://calpaterson.com</v>
      </c>
      <c r="I135" s="9" t="str">
        <f>IFERROR(__xludf.DUMMYFUNCTION("IF(REGEXMATCH(H135,""www""),RIGHT(H135,LEN(H135)-FIND(""."",H135)+0),if(regexmatch(H135,""https://""),right(H135,len(H135)-find(""/"",H135)-1),H135))"),"calpaterson.com")</f>
        <v>calpaterson.com</v>
      </c>
      <c r="J135" s="9" t="str">
        <f t="shared" si="33"/>
        <v>calpaterson.com</v>
      </c>
      <c r="K135" s="9" t="s">
        <v>23</v>
      </c>
      <c r="L135" s="6" t="s">
        <v>176</v>
      </c>
      <c r="M135" s="8" t="str">
        <f t="shared" si="34"/>
        <v>https://newsapi.org/v2/everything?domains=calpaterson.com&amp;apiKey=7d4cb29b783f48c8a1837901e959f134</v>
      </c>
      <c r="N135" s="6">
        <v>0.0</v>
      </c>
      <c r="O135" s="6" t="s">
        <v>39</v>
      </c>
      <c r="P135" s="6"/>
      <c r="Q135" s="6">
        <v>1.0</v>
      </c>
      <c r="R135" s="6" t="s">
        <v>26</v>
      </c>
      <c r="S135" s="6" t="s">
        <v>27</v>
      </c>
      <c r="T135" s="6" t="s">
        <v>145</v>
      </c>
    </row>
    <row r="136">
      <c r="B136" s="6" t="s">
        <v>356</v>
      </c>
      <c r="C136" s="7" t="str">
        <f t="shared" si="1"/>
        <v>Cambridge</v>
      </c>
      <c r="D136" s="6" t="s">
        <v>30</v>
      </c>
      <c r="E136" s="7"/>
      <c r="F136" s="8" t="s">
        <v>357</v>
      </c>
      <c r="G136" s="7"/>
      <c r="H136" s="10"/>
      <c r="I136" s="10"/>
      <c r="J136" s="10"/>
      <c r="K136" s="10"/>
      <c r="L136" s="6"/>
      <c r="M136" s="7"/>
      <c r="N136" s="6">
        <v>0.0</v>
      </c>
      <c r="O136" s="6" t="s">
        <v>25</v>
      </c>
      <c r="P136" s="6"/>
      <c r="Q136" s="6">
        <v>1.0</v>
      </c>
      <c r="R136" s="6" t="s">
        <v>26</v>
      </c>
      <c r="S136" s="6" t="s">
        <v>27</v>
      </c>
      <c r="T136" s="6" t="s">
        <v>67</v>
      </c>
    </row>
    <row r="137">
      <c r="B137" s="6" t="s">
        <v>358</v>
      </c>
      <c r="C137" s="7" t="str">
        <f t="shared" si="1"/>
        <v>Cambridge</v>
      </c>
      <c r="D137" s="6" t="s">
        <v>30</v>
      </c>
      <c r="E137" s="7"/>
      <c r="F137" s="8" t="s">
        <v>359</v>
      </c>
      <c r="G137" s="7"/>
      <c r="H137" s="10"/>
      <c r="I137" s="10"/>
      <c r="J137" s="10"/>
      <c r="K137" s="10"/>
      <c r="L137" s="6"/>
      <c r="M137" s="7"/>
      <c r="N137" s="6">
        <v>0.0</v>
      </c>
      <c r="O137" s="6" t="s">
        <v>25</v>
      </c>
      <c r="P137" s="6"/>
      <c r="Q137" s="6">
        <v>1.0</v>
      </c>
      <c r="R137" s="6" t="s">
        <v>26</v>
      </c>
      <c r="S137" s="6" t="s">
        <v>27</v>
      </c>
      <c r="T137" s="6" t="s">
        <v>48</v>
      </c>
    </row>
    <row r="138">
      <c r="B138" s="6" t="s">
        <v>360</v>
      </c>
      <c r="C138" s="7" t="str">
        <f t="shared" si="1"/>
        <v>Cambridge</v>
      </c>
      <c r="D138" s="6" t="s">
        <v>30</v>
      </c>
      <c r="E138" s="7"/>
      <c r="F138" s="8" t="s">
        <v>361</v>
      </c>
      <c r="G138" s="7"/>
      <c r="H138" s="10"/>
      <c r="I138" s="10"/>
      <c r="J138" s="10"/>
      <c r="K138" s="10"/>
      <c r="L138" s="6"/>
      <c r="M138" s="7"/>
      <c r="N138" s="6">
        <v>1.0</v>
      </c>
      <c r="O138" s="6" t="s">
        <v>25</v>
      </c>
      <c r="P138" s="6"/>
      <c r="Q138" s="6">
        <v>1.0</v>
      </c>
      <c r="R138" s="6" t="s">
        <v>26</v>
      </c>
      <c r="S138" s="6" t="s">
        <v>27</v>
      </c>
      <c r="T138" s="6" t="s">
        <v>85</v>
      </c>
    </row>
    <row r="139">
      <c r="B139" s="6" t="s">
        <v>362</v>
      </c>
      <c r="C139" s="7" t="str">
        <f t="shared" si="1"/>
        <v>Cambridge</v>
      </c>
      <c r="D139" s="6" t="s">
        <v>30</v>
      </c>
      <c r="E139" s="7"/>
      <c r="F139" s="8" t="s">
        <v>363</v>
      </c>
      <c r="G139" s="7"/>
      <c r="H139" s="10"/>
      <c r="I139" s="10"/>
      <c r="J139" s="10"/>
      <c r="K139" s="10"/>
      <c r="L139" s="6"/>
      <c r="M139" s="7"/>
      <c r="N139" s="6">
        <v>1.0</v>
      </c>
      <c r="O139" s="6" t="s">
        <v>25</v>
      </c>
      <c r="P139" s="6"/>
      <c r="Q139" s="6">
        <v>1.0</v>
      </c>
      <c r="R139" s="6" t="s">
        <v>26</v>
      </c>
      <c r="S139" s="6" t="s">
        <v>27</v>
      </c>
      <c r="T139" s="6" t="s">
        <v>101</v>
      </c>
    </row>
    <row r="140">
      <c r="B140" s="6" t="s">
        <v>364</v>
      </c>
      <c r="C140" s="7" t="str">
        <f t="shared" si="1"/>
        <v>Cambridge</v>
      </c>
      <c r="D140" s="6" t="s">
        <v>30</v>
      </c>
      <c r="E140" s="7"/>
      <c r="F140" s="8" t="s">
        <v>365</v>
      </c>
      <c r="G140" s="7"/>
      <c r="H140" s="10"/>
      <c r="I140" s="10"/>
      <c r="J140" s="10"/>
      <c r="K140" s="10"/>
      <c r="L140" s="6"/>
      <c r="M140" s="7"/>
      <c r="N140" s="6">
        <v>1.0</v>
      </c>
      <c r="O140" s="6" t="s">
        <v>25</v>
      </c>
      <c r="P140" s="6"/>
      <c r="Q140" s="6">
        <v>1.0</v>
      </c>
      <c r="R140" s="6" t="s">
        <v>26</v>
      </c>
      <c r="S140" s="6" t="s">
        <v>27</v>
      </c>
      <c r="T140" s="6" t="s">
        <v>131</v>
      </c>
    </row>
    <row r="141">
      <c r="B141" s="6" t="s">
        <v>366</v>
      </c>
      <c r="C141" s="7" t="str">
        <f t="shared" si="1"/>
        <v>Cambridge</v>
      </c>
      <c r="D141" s="6" t="s">
        <v>30</v>
      </c>
      <c r="E141" s="7"/>
      <c r="F141" s="8" t="s">
        <v>367</v>
      </c>
      <c r="G141" s="7"/>
      <c r="H141" s="10"/>
      <c r="I141" s="10"/>
      <c r="J141" s="10"/>
      <c r="K141" s="10"/>
      <c r="L141" s="6"/>
      <c r="M141" s="7"/>
      <c r="N141" s="6">
        <v>1.0</v>
      </c>
      <c r="O141" s="6" t="s">
        <v>25</v>
      </c>
      <c r="P141" s="6"/>
      <c r="Q141" s="6">
        <v>1.0</v>
      </c>
      <c r="R141" s="6" t="s">
        <v>26</v>
      </c>
      <c r="S141" s="6" t="s">
        <v>27</v>
      </c>
      <c r="T141" s="6" t="s">
        <v>28</v>
      </c>
    </row>
    <row r="142">
      <c r="B142" s="6" t="s">
        <v>368</v>
      </c>
      <c r="C142" s="7" t="str">
        <f t="shared" si="1"/>
        <v>Cambridge</v>
      </c>
      <c r="D142" s="6" t="s">
        <v>30</v>
      </c>
      <c r="E142" s="7"/>
      <c r="F142" s="8" t="s">
        <v>369</v>
      </c>
      <c r="G142" s="7"/>
      <c r="H142" s="10"/>
      <c r="I142" s="10"/>
      <c r="J142" s="10"/>
      <c r="K142" s="10"/>
      <c r="L142" s="6"/>
      <c r="M142" s="7"/>
      <c r="N142" s="6">
        <v>1.0</v>
      </c>
      <c r="O142" s="6" t="s">
        <v>25</v>
      </c>
      <c r="P142" s="6"/>
      <c r="Q142" s="6">
        <v>1.0</v>
      </c>
      <c r="R142" s="6" t="s">
        <v>26</v>
      </c>
      <c r="S142" s="6" t="s">
        <v>27</v>
      </c>
      <c r="T142" s="6" t="s">
        <v>76</v>
      </c>
    </row>
    <row r="143">
      <c r="B143" s="6" t="s">
        <v>370</v>
      </c>
      <c r="C143" s="7" t="str">
        <f t="shared" si="1"/>
        <v/>
      </c>
      <c r="D143" s="7" t="s">
        <v>50</v>
      </c>
      <c r="E143" s="7">
        <v>46.0</v>
      </c>
      <c r="F143" s="7"/>
      <c r="G143" s="8" t="s">
        <v>371</v>
      </c>
      <c r="H143" s="9" t="str">
        <f>LEFT(G143, LEN(G143)-1)</f>
        <v>https://carnegieendowment.org</v>
      </c>
      <c r="I143" s="9" t="str">
        <f>IFERROR(__xludf.DUMMYFUNCTION("IF(REGEXMATCH(H143,""www""),RIGHT(H143,LEN(H143)-FIND(""."",H143)+0),if(regexmatch(H143,""https://""),right(H143,len(H143)-find(""/"",H143)-1),H143))"),"carnegieendowment.org")</f>
        <v>carnegieendowment.org</v>
      </c>
      <c r="J143" s="9" t="str">
        <f>I143</f>
        <v>carnegieendowment.org</v>
      </c>
      <c r="K143" s="9" t="s">
        <v>23</v>
      </c>
      <c r="L143" s="6" t="s">
        <v>176</v>
      </c>
      <c r="M143" s="8" t="str">
        <f>K143&amp;J143&amp;L143</f>
        <v>https://newsapi.org/v2/everything?domains=carnegieendowment.org&amp;apiKey=7d4cb29b783f48c8a1837901e959f134</v>
      </c>
      <c r="N143" s="6">
        <v>1.0</v>
      </c>
      <c r="O143" s="6" t="s">
        <v>25</v>
      </c>
      <c r="P143" s="6"/>
      <c r="Q143" s="6">
        <v>1.0</v>
      </c>
      <c r="R143" s="6" t="s">
        <v>26</v>
      </c>
      <c r="S143" s="6" t="s">
        <v>27</v>
      </c>
      <c r="T143" s="6" t="s">
        <v>241</v>
      </c>
    </row>
    <row r="144">
      <c r="B144" s="6" t="s">
        <v>372</v>
      </c>
      <c r="C144" s="7" t="str">
        <f t="shared" si="1"/>
        <v/>
      </c>
      <c r="D144" s="7" t="s">
        <v>20</v>
      </c>
      <c r="E144" s="12"/>
      <c r="F144" s="11" t="s">
        <v>373</v>
      </c>
      <c r="G144" s="12"/>
      <c r="H144" s="10"/>
      <c r="I144" s="10"/>
      <c r="J144" s="10"/>
      <c r="K144" s="10"/>
      <c r="L144" s="6"/>
      <c r="M144" s="7"/>
      <c r="N144" s="6">
        <v>1.0</v>
      </c>
      <c r="O144" s="6" t="s">
        <v>25</v>
      </c>
      <c r="P144" s="6"/>
      <c r="Q144" s="6"/>
      <c r="R144" s="6"/>
      <c r="S144" s="6"/>
      <c r="T144" s="6" t="s">
        <v>374</v>
      </c>
    </row>
    <row r="145">
      <c r="B145" s="6" t="s">
        <v>375</v>
      </c>
      <c r="C145" s="7" t="str">
        <f t="shared" si="1"/>
        <v/>
      </c>
      <c r="D145" s="7" t="s">
        <v>20</v>
      </c>
      <c r="E145" s="7"/>
      <c r="F145" s="8" t="s">
        <v>376</v>
      </c>
      <c r="G145" s="8" t="s">
        <v>377</v>
      </c>
      <c r="H145" s="9" t="str">
        <f>LEFT(G145, LEN(G145)-1)</f>
        <v>https://www.cato.org</v>
      </c>
      <c r="I145" s="9" t="str">
        <f>IFERROR(__xludf.DUMMYFUNCTION("IF(REGEXMATCH(H145,""www""),RIGHT(H145,LEN(H145)-FIND(""."",H145)+0),if(regexmatch(H145,""https://""),right(H145,len(H145)-find(""/"",H145)-1),H145))"),"cato.org")</f>
        <v>cato.org</v>
      </c>
      <c r="J145" s="9" t="str">
        <f>I145</f>
        <v>cato.org</v>
      </c>
      <c r="K145" s="9" t="s">
        <v>23</v>
      </c>
      <c r="L145" s="6" t="s">
        <v>24</v>
      </c>
      <c r="M145" s="8" t="str">
        <f>K145&amp;J145&amp;L145</f>
        <v>https://newsapi.org/v2/everything?domains=cato.org&amp;apiKey=ae2ad3e68d4e4daca149bbfb9b61c010</v>
      </c>
      <c r="N145" s="6">
        <v>1.0</v>
      </c>
      <c r="O145" s="6" t="s">
        <v>25</v>
      </c>
      <c r="P145" s="6"/>
      <c r="Q145" s="6">
        <v>1.0</v>
      </c>
      <c r="R145" s="6" t="s">
        <v>26</v>
      </c>
      <c r="S145" s="6" t="s">
        <v>27</v>
      </c>
      <c r="T145" s="6" t="s">
        <v>241</v>
      </c>
    </row>
    <row r="146">
      <c r="B146" s="6" t="s">
        <v>378</v>
      </c>
      <c r="C146" s="7" t="str">
        <f t="shared" si="1"/>
        <v/>
      </c>
      <c r="D146" s="7" t="s">
        <v>20</v>
      </c>
      <c r="E146" s="7"/>
      <c r="F146" s="8" t="s">
        <v>379</v>
      </c>
      <c r="G146" s="7"/>
      <c r="H146" s="10"/>
      <c r="I146" s="10"/>
      <c r="J146" s="10"/>
      <c r="K146" s="10"/>
      <c r="L146" s="6"/>
      <c r="M146" s="7"/>
      <c r="N146" s="6">
        <v>1.0</v>
      </c>
      <c r="O146" s="6" t="s">
        <v>25</v>
      </c>
      <c r="P146" s="6"/>
      <c r="Q146" s="6">
        <v>1.0</v>
      </c>
      <c r="R146" s="6" t="s">
        <v>26</v>
      </c>
      <c r="S146" s="6" t="s">
        <v>27</v>
      </c>
      <c r="T146" s="6" t="s">
        <v>248</v>
      </c>
    </row>
    <row r="147">
      <c r="B147" s="6" t="s">
        <v>380</v>
      </c>
      <c r="C147" s="7" t="str">
        <f t="shared" si="1"/>
        <v/>
      </c>
      <c r="D147" s="7" t="s">
        <v>50</v>
      </c>
      <c r="E147" s="12">
        <v>100.0</v>
      </c>
      <c r="F147" s="12"/>
      <c r="G147" s="11" t="s">
        <v>381</v>
      </c>
      <c r="H147" s="9" t="str">
        <f t="shared" ref="H147:H156" si="35">LEFT(G147, LEN(G147)-1)</f>
        <v>https://www.cdc.gov</v>
      </c>
      <c r="I147" s="9" t="str">
        <f>IFERROR(__xludf.DUMMYFUNCTION("IF(REGEXMATCH(H147,""www""),RIGHT(H147,LEN(H147)-FIND(""."",H147)+0),if(regexmatch(H147,""https://""),right(H147,len(H147)-find(""/"",H147)-1),H147))"),"cdc.gov")</f>
        <v>cdc.gov</v>
      </c>
      <c r="J147" s="9" t="str">
        <f t="shared" ref="J147:J156" si="36">I147</f>
        <v>cdc.gov</v>
      </c>
      <c r="K147" s="9" t="s">
        <v>23</v>
      </c>
      <c r="L147" s="6" t="s">
        <v>176</v>
      </c>
      <c r="M147" s="8" t="str">
        <f t="shared" ref="M147:M156" si="37">K147&amp;J147&amp;L147</f>
        <v>https://newsapi.org/v2/everything?domains=cdc.gov&amp;apiKey=7d4cb29b783f48c8a1837901e959f134</v>
      </c>
      <c r="N147" s="6">
        <v>1.0</v>
      </c>
      <c r="O147" s="6" t="s">
        <v>25</v>
      </c>
      <c r="P147" s="6"/>
      <c r="Q147" s="6">
        <v>1.0</v>
      </c>
      <c r="R147" s="6" t="s">
        <v>26</v>
      </c>
      <c r="S147" s="6" t="s">
        <v>27</v>
      </c>
      <c r="T147" s="6" t="s">
        <v>101</v>
      </c>
    </row>
    <row r="148">
      <c r="B148" s="6" t="s">
        <v>382</v>
      </c>
      <c r="C148" s="7" t="str">
        <f t="shared" si="1"/>
        <v/>
      </c>
      <c r="D148" s="7" t="s">
        <v>30</v>
      </c>
      <c r="E148" s="7"/>
      <c r="F148" s="8" t="s">
        <v>383</v>
      </c>
      <c r="G148" s="8" t="s">
        <v>384</v>
      </c>
      <c r="H148" s="9" t="str">
        <f t="shared" si="35"/>
        <v>https://cdixon.org</v>
      </c>
      <c r="I148" s="9" t="str">
        <f>IFERROR(__xludf.DUMMYFUNCTION("IF(REGEXMATCH(H148,""www""),RIGHT(H148,LEN(H148)-FIND(""."",H148)+0),if(regexmatch(H148,""https://""),right(H148,len(H148)-find(""/"",H148)-1),H148))"),"cdixon.org")</f>
        <v>cdixon.org</v>
      </c>
      <c r="J148" s="9" t="str">
        <f t="shared" si="36"/>
        <v>cdixon.org</v>
      </c>
      <c r="K148" s="9" t="s">
        <v>23</v>
      </c>
      <c r="L148" s="6" t="s">
        <v>24</v>
      </c>
      <c r="M148" s="8" t="str">
        <f t="shared" si="37"/>
        <v>https://newsapi.org/v2/everything?domains=cdixon.org&amp;apiKey=ae2ad3e68d4e4daca149bbfb9b61c010</v>
      </c>
      <c r="N148" s="6">
        <v>0.0</v>
      </c>
      <c r="O148" s="6" t="s">
        <v>39</v>
      </c>
      <c r="P148" s="6"/>
      <c r="Q148" s="6">
        <v>1.0</v>
      </c>
      <c r="R148" s="6" t="s">
        <v>26</v>
      </c>
      <c r="S148" s="6" t="s">
        <v>27</v>
      </c>
      <c r="T148" s="6" t="s">
        <v>48</v>
      </c>
    </row>
    <row r="149">
      <c r="B149" s="6" t="s">
        <v>385</v>
      </c>
      <c r="C149" s="7" t="str">
        <f t="shared" si="1"/>
        <v/>
      </c>
      <c r="D149" s="7" t="s">
        <v>50</v>
      </c>
      <c r="E149" s="7">
        <v>4.0</v>
      </c>
      <c r="F149" s="7"/>
      <c r="G149" s="11" t="s">
        <v>386</v>
      </c>
      <c r="H149" s="9" t="str">
        <f t="shared" si="35"/>
        <v>https://www.cell.com</v>
      </c>
      <c r="I149" s="9" t="str">
        <f>IFERROR(__xludf.DUMMYFUNCTION("IF(REGEXMATCH(H149,""www""),RIGHT(H149,LEN(H149)-FIND(""."",H149)+0),if(regexmatch(H149,""https://""),right(H149,len(H149)-find(""/"",H149)-1),H149))"),"cell.com")</f>
        <v>cell.com</v>
      </c>
      <c r="J149" s="9" t="str">
        <f t="shared" si="36"/>
        <v>cell.com</v>
      </c>
      <c r="K149" s="9" t="s">
        <v>23</v>
      </c>
      <c r="L149" s="6" t="s">
        <v>176</v>
      </c>
      <c r="M149" s="8" t="str">
        <f t="shared" si="37"/>
        <v>https://newsapi.org/v2/everything?domains=cell.com&amp;apiKey=7d4cb29b783f48c8a1837901e959f134</v>
      </c>
      <c r="N149" s="6">
        <v>1.0</v>
      </c>
      <c r="O149" s="6" t="s">
        <v>25</v>
      </c>
      <c r="P149" s="6"/>
      <c r="Q149" s="6">
        <v>1.0</v>
      </c>
      <c r="R149" s="6" t="s">
        <v>26</v>
      </c>
      <c r="S149" s="6" t="s">
        <v>27</v>
      </c>
      <c r="T149" s="6" t="s">
        <v>101</v>
      </c>
    </row>
    <row r="150">
      <c r="B150" s="6" t="s">
        <v>387</v>
      </c>
      <c r="C150" s="7" t="str">
        <f t="shared" si="1"/>
        <v/>
      </c>
      <c r="D150" s="7" t="s">
        <v>50</v>
      </c>
      <c r="E150" s="7">
        <v>9.0</v>
      </c>
      <c r="F150" s="7"/>
      <c r="G150" s="8" t="s">
        <v>388</v>
      </c>
      <c r="H150" s="9" t="str">
        <f t="shared" si="35"/>
        <v>https://www.cfr.org</v>
      </c>
      <c r="I150" s="9" t="str">
        <f>IFERROR(__xludf.DUMMYFUNCTION("IF(REGEXMATCH(H150,""www""),RIGHT(H150,LEN(H150)-FIND(""."",H150)+0),if(regexmatch(H150,""https://""),right(H150,len(H150)-find(""/"",H150)-1),H150))"),"cfr.org")</f>
        <v>cfr.org</v>
      </c>
      <c r="J150" s="9" t="str">
        <f t="shared" si="36"/>
        <v>cfr.org</v>
      </c>
      <c r="K150" s="9" t="s">
        <v>23</v>
      </c>
      <c r="L150" s="6" t="s">
        <v>176</v>
      </c>
      <c r="M150" s="8" t="str">
        <f t="shared" si="37"/>
        <v>https://newsapi.org/v2/everything?domains=cfr.org&amp;apiKey=7d4cb29b783f48c8a1837901e959f134</v>
      </c>
      <c r="N150" s="6">
        <v>1.0</v>
      </c>
      <c r="O150" s="6" t="s">
        <v>25</v>
      </c>
      <c r="P150" s="6"/>
      <c r="Q150" s="6">
        <v>1.0</v>
      </c>
      <c r="R150" s="6" t="s">
        <v>26</v>
      </c>
      <c r="S150" s="6" t="s">
        <v>27</v>
      </c>
      <c r="T150" s="6" t="s">
        <v>241</v>
      </c>
    </row>
    <row r="151">
      <c r="B151" s="6" t="s">
        <v>389</v>
      </c>
      <c r="C151" s="7" t="str">
        <f t="shared" si="1"/>
        <v/>
      </c>
      <c r="D151" s="7" t="s">
        <v>20</v>
      </c>
      <c r="E151" s="7"/>
      <c r="F151" s="8" t="s">
        <v>390</v>
      </c>
      <c r="G151" s="8" t="s">
        <v>391</v>
      </c>
      <c r="H151" s="9" t="str">
        <f t="shared" si="35"/>
        <v>https://www.chathamhouse.org</v>
      </c>
      <c r="I151" s="9" t="str">
        <f>IFERROR(__xludf.DUMMYFUNCTION("IF(REGEXMATCH(H151,""www""),RIGHT(H151,LEN(H151)-FIND(""."",H151)+0),if(regexmatch(H151,""https://""),right(H151,len(H151)-find(""/"",H151)-1),H151))"),"chathamhouse.org")</f>
        <v>chathamhouse.org</v>
      </c>
      <c r="J151" s="9" t="str">
        <f t="shared" si="36"/>
        <v>chathamhouse.org</v>
      </c>
      <c r="K151" s="9" t="s">
        <v>23</v>
      </c>
      <c r="L151" s="6" t="s">
        <v>176</v>
      </c>
      <c r="M151" s="8" t="str">
        <f t="shared" si="37"/>
        <v>https://newsapi.org/v2/everything?domains=chathamhouse.org&amp;apiKey=7d4cb29b783f48c8a1837901e959f134</v>
      </c>
      <c r="N151" s="6">
        <v>1.0</v>
      </c>
      <c r="O151" s="6" t="s">
        <v>25</v>
      </c>
      <c r="P151" s="6"/>
      <c r="Q151" s="6">
        <v>1.0</v>
      </c>
      <c r="R151" s="6" t="s">
        <v>26</v>
      </c>
      <c r="S151" s="6" t="s">
        <v>27</v>
      </c>
      <c r="T151" s="6" t="s">
        <v>241</v>
      </c>
    </row>
    <row r="152">
      <c r="B152" s="6" t="s">
        <v>392</v>
      </c>
      <c r="C152" s="7" t="str">
        <f t="shared" si="1"/>
        <v/>
      </c>
      <c r="D152" s="7" t="s">
        <v>20</v>
      </c>
      <c r="E152" s="7"/>
      <c r="F152" s="8" t="s">
        <v>393</v>
      </c>
      <c r="G152" s="8" t="s">
        <v>394</v>
      </c>
      <c r="H152" s="9" t="str">
        <f t="shared" si="35"/>
        <v>https://cineccentric.com</v>
      </c>
      <c r="I152" s="9" t="str">
        <f>IFERROR(__xludf.DUMMYFUNCTION("IF(REGEXMATCH(H152,""www""),RIGHT(H152,LEN(H152)-FIND(""."",H152)+0),if(regexmatch(H152,""https://""),right(H152,len(H152)-find(""/"",H152)-1),H152))"),"cineccentric.com")</f>
        <v>cineccentric.com</v>
      </c>
      <c r="J152" s="9" t="str">
        <f t="shared" si="36"/>
        <v>cineccentric.com</v>
      </c>
      <c r="K152" s="9" t="s">
        <v>23</v>
      </c>
      <c r="L152" s="6" t="s">
        <v>176</v>
      </c>
      <c r="M152" s="8" t="str">
        <f t="shared" si="37"/>
        <v>https://newsapi.org/v2/everything?domains=cineccentric.com&amp;apiKey=7d4cb29b783f48c8a1837901e959f134</v>
      </c>
      <c r="N152" s="6">
        <v>1.0</v>
      </c>
      <c r="O152" s="6" t="s">
        <v>39</v>
      </c>
      <c r="P152" s="6"/>
      <c r="Q152" s="6">
        <v>1.0</v>
      </c>
      <c r="R152" s="6" t="s">
        <v>26</v>
      </c>
      <c r="S152" s="6" t="s">
        <v>27</v>
      </c>
      <c r="T152" s="6" t="s">
        <v>90</v>
      </c>
    </row>
    <row r="153">
      <c r="B153" s="6" t="s">
        <v>395</v>
      </c>
      <c r="C153" s="7" t="str">
        <f t="shared" si="1"/>
        <v/>
      </c>
      <c r="D153" s="7" t="s">
        <v>50</v>
      </c>
      <c r="E153" s="12"/>
      <c r="F153" s="12"/>
      <c r="G153" s="11" t="s">
        <v>396</v>
      </c>
      <c r="H153" s="9" t="str">
        <f t="shared" si="35"/>
        <v>https://www.cnet.com</v>
      </c>
      <c r="I153" s="9" t="str">
        <f>IFERROR(__xludf.DUMMYFUNCTION("IF(REGEXMATCH(H153,""www""),RIGHT(H153,LEN(H153)-FIND(""."",H153)+0),if(regexmatch(H153,""https://""),right(H153,len(H153)-find(""/"",H153)-1),H153))"),"cnet.com")</f>
        <v>cnet.com</v>
      </c>
      <c r="J153" s="9" t="str">
        <f t="shared" si="36"/>
        <v>cnet.com</v>
      </c>
      <c r="K153" s="9" t="s">
        <v>23</v>
      </c>
      <c r="L153" s="6" t="s">
        <v>24</v>
      </c>
      <c r="M153" s="8" t="str">
        <f t="shared" si="37"/>
        <v>https://newsapi.org/v2/everything?domains=cnet.com&amp;apiKey=ae2ad3e68d4e4daca149bbfb9b61c010</v>
      </c>
      <c r="N153" s="6">
        <v>1.0</v>
      </c>
      <c r="O153" s="6" t="s">
        <v>25</v>
      </c>
      <c r="P153" s="6"/>
      <c r="Q153" s="6">
        <v>1.0</v>
      </c>
      <c r="R153" s="6" t="s">
        <v>26</v>
      </c>
      <c r="S153" s="6" t="s">
        <v>27</v>
      </c>
      <c r="T153" s="6" t="s">
        <v>76</v>
      </c>
    </row>
    <row r="154">
      <c r="B154" s="6" t="s">
        <v>397</v>
      </c>
      <c r="C154" s="7" t="str">
        <f t="shared" si="1"/>
        <v/>
      </c>
      <c r="D154" s="7" t="s">
        <v>30</v>
      </c>
      <c r="E154" s="7">
        <v>0.0</v>
      </c>
      <c r="F154" s="8" t="s">
        <v>398</v>
      </c>
      <c r="G154" s="8" t="s">
        <v>399</v>
      </c>
      <c r="H154" s="9" t="str">
        <f t="shared" si="35"/>
        <v>https://www.codastory.com</v>
      </c>
      <c r="I154" s="9" t="str">
        <f>IFERROR(__xludf.DUMMYFUNCTION("IF(REGEXMATCH(H154,""www""),RIGHT(H154,LEN(H154)-FIND(""."",H154)+0),if(regexmatch(H154,""https://""),right(H154,len(H154)-find(""/"",H154)-1),H154))"),"codastory.com")</f>
        <v>codastory.com</v>
      </c>
      <c r="J154" s="9" t="str">
        <f t="shared" si="36"/>
        <v>codastory.com</v>
      </c>
      <c r="K154" s="9" t="s">
        <v>23</v>
      </c>
      <c r="L154" s="6" t="s">
        <v>24</v>
      </c>
      <c r="M154" s="8" t="str">
        <f t="shared" si="37"/>
        <v>https://newsapi.org/v2/everything?domains=codastory.com&amp;apiKey=ae2ad3e68d4e4daca149bbfb9b61c010</v>
      </c>
      <c r="N154" s="6">
        <v>0.0</v>
      </c>
      <c r="O154" s="6" t="s">
        <v>25</v>
      </c>
      <c r="P154" s="6"/>
      <c r="Q154" s="6">
        <v>1.0</v>
      </c>
      <c r="R154" s="6" t="s">
        <v>26</v>
      </c>
      <c r="S154" s="6" t="s">
        <v>27</v>
      </c>
      <c r="T154" s="6" t="s">
        <v>223</v>
      </c>
    </row>
    <row r="155">
      <c r="B155" s="6" t="s">
        <v>400</v>
      </c>
      <c r="C155" s="7" t="str">
        <f t="shared" si="1"/>
        <v/>
      </c>
      <c r="D155" s="7" t="s">
        <v>20</v>
      </c>
      <c r="E155" s="7"/>
      <c r="F155" s="8" t="s">
        <v>401</v>
      </c>
      <c r="G155" s="8" t="s">
        <v>402</v>
      </c>
      <c r="H155" s="9" t="str">
        <f t="shared" si="35"/>
        <v>https://blog.codinghorror.com</v>
      </c>
      <c r="I155" s="9" t="str">
        <f>IFERROR(__xludf.DUMMYFUNCTION("IF(REGEXMATCH(H155,""www""),RIGHT(H155,LEN(H155)-FIND(""."",H155)+0),if(regexmatch(H155,""https://""),right(H155,len(H155)-find(""/"",H155)-1),H155))"),"blog.codinghorror.com")</f>
        <v>blog.codinghorror.com</v>
      </c>
      <c r="J155" s="9" t="str">
        <f t="shared" si="36"/>
        <v>blog.codinghorror.com</v>
      </c>
      <c r="K155" s="9" t="s">
        <v>23</v>
      </c>
      <c r="L155" s="6" t="s">
        <v>24</v>
      </c>
      <c r="M155" s="8" t="str">
        <f t="shared" si="37"/>
        <v>https://newsapi.org/v2/everything?domains=blog.codinghorror.com&amp;apiKey=ae2ad3e68d4e4daca149bbfb9b61c010</v>
      </c>
      <c r="N155" s="6">
        <v>0.0</v>
      </c>
      <c r="O155" s="6" t="s">
        <v>39</v>
      </c>
      <c r="P155" s="6"/>
      <c r="Q155" s="6">
        <v>1.0</v>
      </c>
      <c r="R155" s="6" t="s">
        <v>26</v>
      </c>
      <c r="S155" s="6" t="s">
        <v>27</v>
      </c>
      <c r="T155" s="6" t="s">
        <v>145</v>
      </c>
    </row>
    <row r="156">
      <c r="B156" s="6" t="s">
        <v>403</v>
      </c>
      <c r="C156" s="7" t="str">
        <f t="shared" si="1"/>
        <v/>
      </c>
      <c r="D156" s="7" t="s">
        <v>50</v>
      </c>
      <c r="E156" s="7">
        <v>100.0</v>
      </c>
      <c r="F156" s="7"/>
      <c r="G156" s="8" t="s">
        <v>404</v>
      </c>
      <c r="H156" s="9" t="str">
        <f t="shared" si="35"/>
        <v>https://cointelegraph.com</v>
      </c>
      <c r="I156" s="9" t="str">
        <f>IFERROR(__xludf.DUMMYFUNCTION("IF(REGEXMATCH(H156,""www""),RIGHT(H156,LEN(H156)-FIND(""."",H156)+0),if(regexmatch(H156,""https://""),right(H156,len(H156)-find(""/"",H156)-1),H156))"),"cointelegraph.com")</f>
        <v>cointelegraph.com</v>
      </c>
      <c r="J156" s="9" t="str">
        <f t="shared" si="36"/>
        <v>cointelegraph.com</v>
      </c>
      <c r="K156" s="9" t="s">
        <v>23</v>
      </c>
      <c r="L156" s="6" t="s">
        <v>24</v>
      </c>
      <c r="M156" s="8" t="str">
        <f t="shared" si="37"/>
        <v>https://newsapi.org/v2/everything?domains=cointelegraph.com&amp;apiKey=ae2ad3e68d4e4daca149bbfb9b61c010</v>
      </c>
      <c r="N156" s="6">
        <v>1.0</v>
      </c>
      <c r="O156" s="6" t="s">
        <v>25</v>
      </c>
      <c r="P156" s="6"/>
      <c r="Q156" s="6">
        <v>1.0</v>
      </c>
      <c r="R156" s="6" t="s">
        <v>26</v>
      </c>
      <c r="S156" s="6" t="s">
        <v>27</v>
      </c>
      <c r="T156" s="6" t="s">
        <v>245</v>
      </c>
    </row>
    <row r="157">
      <c r="B157" s="6" t="s">
        <v>405</v>
      </c>
      <c r="C157" s="7" t="str">
        <f t="shared" si="1"/>
        <v/>
      </c>
      <c r="D157" s="7" t="s">
        <v>20</v>
      </c>
      <c r="E157" s="1"/>
      <c r="F157" s="8" t="s">
        <v>406</v>
      </c>
      <c r="G157" s="1"/>
      <c r="M157" s="1"/>
      <c r="N157" s="6">
        <v>0.0</v>
      </c>
      <c r="O157" s="6" t="s">
        <v>25</v>
      </c>
      <c r="P157" s="6"/>
      <c r="Q157" s="6">
        <v>1.0</v>
      </c>
      <c r="R157" s="6" t="s">
        <v>26</v>
      </c>
      <c r="S157" s="6" t="s">
        <v>27</v>
      </c>
      <c r="T157" s="6" t="s">
        <v>76</v>
      </c>
    </row>
    <row r="158">
      <c r="B158" s="6" t="s">
        <v>407</v>
      </c>
      <c r="C158" s="7" t="str">
        <f t="shared" si="1"/>
        <v>Collectors Weekly</v>
      </c>
      <c r="D158" s="7" t="s">
        <v>30</v>
      </c>
      <c r="E158" s="7"/>
      <c r="F158" s="8" t="s">
        <v>408</v>
      </c>
      <c r="G158" s="7"/>
      <c r="H158" s="10"/>
      <c r="I158" s="10"/>
      <c r="J158" s="10"/>
      <c r="K158" s="10"/>
      <c r="L158" s="6"/>
      <c r="M158" s="7"/>
      <c r="N158" s="6">
        <v>0.0</v>
      </c>
      <c r="O158" s="6" t="s">
        <v>25</v>
      </c>
      <c r="P158" s="6"/>
      <c r="Q158" s="6"/>
      <c r="R158" s="6"/>
      <c r="S158" s="6"/>
      <c r="T158" s="6" t="s">
        <v>67</v>
      </c>
    </row>
    <row r="159">
      <c r="B159" s="6" t="s">
        <v>409</v>
      </c>
      <c r="C159" s="7" t="str">
        <f t="shared" si="1"/>
        <v>Collectors Weekly</v>
      </c>
      <c r="D159" s="7" t="s">
        <v>30</v>
      </c>
      <c r="E159" s="7"/>
      <c r="F159" s="8" t="s">
        <v>410</v>
      </c>
      <c r="G159" s="7"/>
      <c r="H159" s="10"/>
      <c r="I159" s="10"/>
      <c r="J159" s="10"/>
      <c r="K159" s="10"/>
      <c r="L159" s="6"/>
      <c r="M159" s="7"/>
      <c r="N159" s="6">
        <v>0.0</v>
      </c>
      <c r="O159" s="6" t="s">
        <v>25</v>
      </c>
      <c r="P159" s="6"/>
      <c r="Q159" s="6"/>
      <c r="R159" s="6"/>
      <c r="S159" s="6"/>
      <c r="T159" s="6" t="s">
        <v>52</v>
      </c>
    </row>
    <row r="160">
      <c r="B160" s="6" t="s">
        <v>411</v>
      </c>
      <c r="C160" s="7" t="str">
        <f t="shared" si="1"/>
        <v>Collectors Weekly</v>
      </c>
      <c r="D160" s="7" t="s">
        <v>30</v>
      </c>
      <c r="E160" s="7"/>
      <c r="F160" s="8" t="s">
        <v>412</v>
      </c>
      <c r="G160" s="8" t="s">
        <v>413</v>
      </c>
      <c r="H160" s="9" t="str">
        <f>LEFT(G160, LEN(G160)-1)</f>
        <v>https://www.collectorsweekly.com</v>
      </c>
      <c r="I160" s="9" t="str">
        <f>IFERROR(__xludf.DUMMYFUNCTION("IF(REGEXMATCH(H160,""www""),RIGHT(H160,LEN(H160)-FIND(""."",H160)+0),if(regexmatch(H160,""https://""),right(H160,len(H160)-find(""/"",H160)-1),H160))"),"collectorsweekly.com")</f>
        <v>collectorsweekly.com</v>
      </c>
      <c r="J160" s="9" t="str">
        <f>I160</f>
        <v>collectorsweekly.com</v>
      </c>
      <c r="K160" s="9" t="s">
        <v>23</v>
      </c>
      <c r="L160" s="6" t="s">
        <v>24</v>
      </c>
      <c r="M160" s="8" t="str">
        <f>K160&amp;J160&amp;L160</f>
        <v>https://newsapi.org/v2/everything?domains=collectorsweekly.com&amp;apiKey=ae2ad3e68d4e4daca149bbfb9b61c010</v>
      </c>
      <c r="N160" s="6">
        <v>0.0</v>
      </c>
      <c r="O160" s="6" t="s">
        <v>25</v>
      </c>
      <c r="P160" s="6"/>
      <c r="Q160" s="6">
        <v>1.0</v>
      </c>
      <c r="R160" s="6" t="s">
        <v>26</v>
      </c>
      <c r="S160" s="6" t="s">
        <v>27</v>
      </c>
      <c r="T160" s="6" t="s">
        <v>285</v>
      </c>
    </row>
    <row r="161">
      <c r="B161" s="6" t="s">
        <v>414</v>
      </c>
      <c r="C161" s="7" t="str">
        <f t="shared" si="1"/>
        <v>Collectors Weekly</v>
      </c>
      <c r="D161" s="7" t="s">
        <v>30</v>
      </c>
      <c r="E161" s="7"/>
      <c r="F161" s="8" t="s">
        <v>415</v>
      </c>
      <c r="G161" s="7"/>
      <c r="H161" s="10"/>
      <c r="I161" s="10"/>
      <c r="J161" s="10"/>
      <c r="K161" s="10"/>
      <c r="L161" s="6"/>
      <c r="M161" s="7"/>
      <c r="N161" s="6">
        <v>0.0</v>
      </c>
      <c r="O161" s="6" t="s">
        <v>25</v>
      </c>
      <c r="P161" s="6"/>
      <c r="Q161" s="6"/>
      <c r="R161" s="6"/>
      <c r="S161" s="6"/>
      <c r="T161" s="6" t="s">
        <v>52</v>
      </c>
    </row>
    <row r="162">
      <c r="B162" s="6" t="s">
        <v>416</v>
      </c>
      <c r="C162" s="7" t="str">
        <f t="shared" si="1"/>
        <v>Collectors Weekly</v>
      </c>
      <c r="D162" s="7" t="s">
        <v>30</v>
      </c>
      <c r="E162" s="7"/>
      <c r="F162" s="8" t="s">
        <v>417</v>
      </c>
      <c r="G162" s="7"/>
      <c r="H162" s="10"/>
      <c r="I162" s="10"/>
      <c r="J162" s="10"/>
      <c r="K162" s="10"/>
      <c r="L162" s="6"/>
      <c r="M162" s="7"/>
      <c r="N162" s="6">
        <v>0.0</v>
      </c>
      <c r="O162" s="6" t="s">
        <v>25</v>
      </c>
      <c r="P162" s="6"/>
      <c r="Q162" s="6"/>
      <c r="R162" s="6"/>
      <c r="S162" s="6"/>
      <c r="T162" s="6" t="s">
        <v>56</v>
      </c>
    </row>
    <row r="163">
      <c r="B163" s="6" t="s">
        <v>418</v>
      </c>
      <c r="C163" s="7" t="str">
        <f t="shared" si="1"/>
        <v/>
      </c>
      <c r="D163" s="7" t="s">
        <v>30</v>
      </c>
      <c r="E163" s="1"/>
      <c r="F163" s="8" t="s">
        <v>419</v>
      </c>
      <c r="G163" s="1"/>
      <c r="M163" s="1"/>
      <c r="N163" s="6">
        <v>0.0</v>
      </c>
      <c r="O163" s="6" t="s">
        <v>25</v>
      </c>
      <c r="P163" s="6"/>
      <c r="Q163" s="6">
        <v>1.0</v>
      </c>
      <c r="R163" s="6" t="s">
        <v>26</v>
      </c>
      <c r="S163" s="6" t="s">
        <v>27</v>
      </c>
      <c r="T163" s="6" t="s">
        <v>241</v>
      </c>
    </row>
    <row r="164">
      <c r="B164" s="6" t="s">
        <v>420</v>
      </c>
      <c r="C164" s="7" t="str">
        <f t="shared" si="1"/>
        <v/>
      </c>
      <c r="D164" s="16" t="s">
        <v>20</v>
      </c>
      <c r="E164" s="12"/>
      <c r="F164" s="11" t="s">
        <v>421</v>
      </c>
      <c r="G164" s="7"/>
      <c r="H164" s="10" t="str">
        <f t="shared" ref="H164:H173" si="38">LEFT(G164, LEN(G164)-1)</f>
        <v>#VALUE!</v>
      </c>
      <c r="I164" s="10" t="str">
        <f>IFERROR(__xludf.DUMMYFUNCTION("IF(REGEXMATCH(H164,""www""),RIGHT(H164,LEN(H164)-FIND(""."",H164)+0),if(regexmatch(H164,""https://""),right(H164,len(H164)-find(""/"",H164)-1),H164))"),"#VALUE!")</f>
        <v>#VALUE!</v>
      </c>
      <c r="J164" s="10" t="str">
        <f t="shared" ref="J164:J173" si="39">I164</f>
        <v>#VALUE!</v>
      </c>
      <c r="K164" s="9" t="s">
        <v>23</v>
      </c>
      <c r="L164" s="6" t="s">
        <v>24</v>
      </c>
      <c r="M164" s="7" t="str">
        <f t="shared" ref="M164:M173" si="40">K164&amp;J164&amp;L164</f>
        <v>#VALUE!</v>
      </c>
      <c r="N164" s="6">
        <v>0.0</v>
      </c>
      <c r="O164" s="6" t="s">
        <v>43</v>
      </c>
      <c r="P164" s="6"/>
      <c r="Q164" s="6">
        <v>1.0</v>
      </c>
      <c r="R164" s="6" t="s">
        <v>26</v>
      </c>
      <c r="S164" s="6" t="s">
        <v>27</v>
      </c>
      <c r="T164" s="6" t="s">
        <v>131</v>
      </c>
    </row>
    <row r="165">
      <c r="B165" s="6" t="s">
        <v>422</v>
      </c>
      <c r="C165" s="7" t="str">
        <f t="shared" si="1"/>
        <v/>
      </c>
      <c r="D165" s="7" t="s">
        <v>50</v>
      </c>
      <c r="E165" s="12">
        <v>29.0</v>
      </c>
      <c r="F165" s="12"/>
      <c r="G165" s="11" t="s">
        <v>423</v>
      </c>
      <c r="H165" s="9" t="str">
        <f t="shared" si="38"/>
        <v>https://contentmarketinginstitute.com</v>
      </c>
      <c r="I165" s="9" t="str">
        <f>IFERROR(__xludf.DUMMYFUNCTION("IF(REGEXMATCH(H165,""www""),RIGHT(H165,LEN(H165)-FIND(""."",H165)+0),if(regexmatch(H165,""https://""),right(H165,len(H165)-find(""/"",H165)-1),H165))"),"contentmarketinginstitute.com")</f>
        <v>contentmarketinginstitute.com</v>
      </c>
      <c r="J165" s="9" t="str">
        <f t="shared" si="39"/>
        <v>contentmarketinginstitute.com</v>
      </c>
      <c r="K165" s="9" t="s">
        <v>23</v>
      </c>
      <c r="L165" s="6" t="s">
        <v>176</v>
      </c>
      <c r="M165" s="8" t="str">
        <f t="shared" si="40"/>
        <v>https://newsapi.org/v2/everything?domains=contentmarketinginstitute.com&amp;apiKey=7d4cb29b783f48c8a1837901e959f134</v>
      </c>
      <c r="N165" s="6">
        <v>0.0</v>
      </c>
      <c r="O165" s="6" t="s">
        <v>39</v>
      </c>
      <c r="P165" s="6"/>
      <c r="Q165" s="6">
        <v>1.0</v>
      </c>
      <c r="R165" s="6" t="s">
        <v>26</v>
      </c>
      <c r="S165" s="6" t="s">
        <v>27</v>
      </c>
      <c r="T165" s="6" t="s">
        <v>329</v>
      </c>
    </row>
    <row r="166">
      <c r="B166" s="6" t="s">
        <v>424</v>
      </c>
      <c r="C166" s="7" t="str">
        <f t="shared" si="1"/>
        <v/>
      </c>
      <c r="D166" s="7" t="s">
        <v>20</v>
      </c>
      <c r="E166" s="7"/>
      <c r="F166" s="8" t="s">
        <v>425</v>
      </c>
      <c r="G166" s="8" t="s">
        <v>426</v>
      </c>
      <c r="H166" s="9" t="str">
        <f t="shared" si="38"/>
        <v>https://copyblogger.com</v>
      </c>
      <c r="I166" s="9" t="str">
        <f>IFERROR(__xludf.DUMMYFUNCTION("IF(REGEXMATCH(H166,""www""),RIGHT(H166,LEN(H166)-FIND(""."",H166)+0),if(regexmatch(H166,""https://""),right(H166,len(H166)-find(""/"",H166)-1),H166))"),"copyblogger.com")</f>
        <v>copyblogger.com</v>
      </c>
      <c r="J166" s="9" t="str">
        <f t="shared" si="39"/>
        <v>copyblogger.com</v>
      </c>
      <c r="K166" s="9" t="s">
        <v>23</v>
      </c>
      <c r="L166" s="6" t="s">
        <v>176</v>
      </c>
      <c r="M166" s="8" t="str">
        <f t="shared" si="40"/>
        <v>https://newsapi.org/v2/everything?domains=copyblogger.com&amp;apiKey=7d4cb29b783f48c8a1837901e959f134</v>
      </c>
      <c r="N166" s="6">
        <v>0.0</v>
      </c>
      <c r="O166" s="6" t="s">
        <v>39</v>
      </c>
      <c r="P166" s="6"/>
      <c r="Q166" s="6">
        <v>1.0</v>
      </c>
      <c r="R166" s="6" t="s">
        <v>26</v>
      </c>
      <c r="S166" s="6" t="s">
        <v>27</v>
      </c>
      <c r="T166" s="6" t="s">
        <v>329</v>
      </c>
    </row>
    <row r="167">
      <c r="B167" s="6" t="s">
        <v>427</v>
      </c>
      <c r="C167" s="7" t="str">
        <f t="shared" si="1"/>
        <v/>
      </c>
      <c r="D167" s="7" t="s">
        <v>20</v>
      </c>
      <c r="E167" s="12"/>
      <c r="F167" s="11" t="s">
        <v>428</v>
      </c>
      <c r="G167" s="11" t="s">
        <v>429</v>
      </c>
      <c r="H167" s="9" t="str">
        <f t="shared" si="38"/>
        <v>https://www.countbayesie.com</v>
      </c>
      <c r="I167" s="9" t="str">
        <f>IFERROR(__xludf.DUMMYFUNCTION("IF(REGEXMATCH(H167,""www""),RIGHT(H167,LEN(H167)-FIND(""."",H167)+0),if(regexmatch(H167,""https://""),right(H167,len(H167)-find(""/"",H167)-1),H167))"),"countbayesie.com")</f>
        <v>countbayesie.com</v>
      </c>
      <c r="J167" s="9" t="str">
        <f t="shared" si="39"/>
        <v>countbayesie.com</v>
      </c>
      <c r="K167" s="9" t="s">
        <v>23</v>
      </c>
      <c r="L167" s="6" t="s">
        <v>176</v>
      </c>
      <c r="M167" s="8" t="str">
        <f t="shared" si="40"/>
        <v>https://newsapi.org/v2/everything?domains=countbayesie.com&amp;apiKey=7d4cb29b783f48c8a1837901e959f134</v>
      </c>
      <c r="N167" s="6">
        <v>0.0</v>
      </c>
      <c r="O167" s="6" t="s">
        <v>39</v>
      </c>
      <c r="P167" s="6"/>
      <c r="Q167" s="6">
        <v>1.0</v>
      </c>
      <c r="R167" s="6" t="s">
        <v>26</v>
      </c>
      <c r="S167" s="6" t="s">
        <v>27</v>
      </c>
      <c r="T167" s="6" t="s">
        <v>300</v>
      </c>
    </row>
    <row r="168">
      <c r="B168" s="6" t="s">
        <v>430</v>
      </c>
      <c r="C168" s="7" t="str">
        <f t="shared" si="1"/>
        <v/>
      </c>
      <c r="D168" s="7" t="s">
        <v>20</v>
      </c>
      <c r="E168" s="7"/>
      <c r="F168" s="8" t="s">
        <v>431</v>
      </c>
      <c r="G168" s="8" t="s">
        <v>432</v>
      </c>
      <c r="H168" s="9" t="str">
        <f t="shared" si="38"/>
        <v>https://craigmod.com</v>
      </c>
      <c r="I168" s="9" t="str">
        <f>IFERROR(__xludf.DUMMYFUNCTION("IF(REGEXMATCH(H168,""www""),RIGHT(H168,LEN(H168)-FIND(""."",H168)+0),if(regexmatch(H168,""https://""),right(H168,len(H168)-find(""/"",H168)-1),H168))"),"craigmod.com")</f>
        <v>craigmod.com</v>
      </c>
      <c r="J168" s="9" t="str">
        <f t="shared" si="39"/>
        <v>craigmod.com</v>
      </c>
      <c r="K168" s="9" t="s">
        <v>23</v>
      </c>
      <c r="L168" s="6" t="s">
        <v>176</v>
      </c>
      <c r="M168" s="8" t="str">
        <f t="shared" si="40"/>
        <v>https://newsapi.org/v2/everything?domains=craigmod.com&amp;apiKey=7d4cb29b783f48c8a1837901e959f134</v>
      </c>
      <c r="N168" s="6">
        <v>0.0</v>
      </c>
      <c r="O168" s="6" t="s">
        <v>39</v>
      </c>
      <c r="P168" s="6"/>
      <c r="Q168" s="6">
        <v>1.0</v>
      </c>
      <c r="R168" s="6" t="s">
        <v>26</v>
      </c>
      <c r="S168" s="6" t="s">
        <v>27</v>
      </c>
      <c r="T168" s="6" t="s">
        <v>70</v>
      </c>
    </row>
    <row r="169">
      <c r="B169" s="6" t="s">
        <v>433</v>
      </c>
      <c r="C169" s="7" t="str">
        <f t="shared" si="1"/>
        <v/>
      </c>
      <c r="D169" s="7" t="s">
        <v>20</v>
      </c>
      <c r="E169" s="12"/>
      <c r="F169" s="11" t="s">
        <v>434</v>
      </c>
      <c r="G169" s="11" t="s">
        <v>435</v>
      </c>
      <c r="H169" s="9" t="str">
        <f t="shared" si="38"/>
        <v>https://creativemarket.com</v>
      </c>
      <c r="I169" s="9" t="str">
        <f>IFERROR(__xludf.DUMMYFUNCTION("IF(REGEXMATCH(H169,""www""),RIGHT(H169,LEN(H169)-FIND(""."",H169)+0),if(regexmatch(H169,""https://""),right(H169,len(H169)-find(""/"",H169)-1),H169))"),"creativemarket.com")</f>
        <v>creativemarket.com</v>
      </c>
      <c r="J169" s="9" t="str">
        <f t="shared" si="39"/>
        <v>creativemarket.com</v>
      </c>
      <c r="K169" s="9" t="s">
        <v>23</v>
      </c>
      <c r="L169" s="6" t="s">
        <v>176</v>
      </c>
      <c r="M169" s="8" t="str">
        <f t="shared" si="40"/>
        <v>https://newsapi.org/v2/everything?domains=creativemarket.com&amp;apiKey=7d4cb29b783f48c8a1837901e959f134</v>
      </c>
      <c r="N169" s="6">
        <v>0.0</v>
      </c>
      <c r="O169" s="6" t="s">
        <v>25</v>
      </c>
      <c r="P169" s="6"/>
      <c r="Q169" s="6">
        <v>1.0</v>
      </c>
      <c r="R169" s="6" t="s">
        <v>26</v>
      </c>
      <c r="S169" s="6" t="s">
        <v>27</v>
      </c>
      <c r="T169" s="6" t="s">
        <v>52</v>
      </c>
    </row>
    <row r="170">
      <c r="B170" s="6" t="s">
        <v>436</v>
      </c>
      <c r="C170" s="7" t="str">
        <f t="shared" si="1"/>
        <v/>
      </c>
      <c r="D170" s="7" t="s">
        <v>20</v>
      </c>
      <c r="E170" s="7"/>
      <c r="F170" s="8" t="s">
        <v>437</v>
      </c>
      <c r="G170" s="8" t="s">
        <v>438</v>
      </c>
      <c r="H170" s="9" t="str">
        <f t="shared" si="38"/>
        <v>https://criticalfallibilism.com</v>
      </c>
      <c r="I170" s="9" t="str">
        <f>IFERROR(__xludf.DUMMYFUNCTION("IF(REGEXMATCH(H170,""www""),RIGHT(H170,LEN(H170)-FIND(""."",H170)+0),if(regexmatch(H170,""https://""),right(H170,len(H170)-find(""/"",H170)-1),H170))"),"criticalfallibilism.com")</f>
        <v>criticalfallibilism.com</v>
      </c>
      <c r="J170" s="9" t="str">
        <f t="shared" si="39"/>
        <v>criticalfallibilism.com</v>
      </c>
      <c r="K170" s="9" t="s">
        <v>23</v>
      </c>
      <c r="L170" s="6" t="s">
        <v>176</v>
      </c>
      <c r="M170" s="8" t="str">
        <f t="shared" si="40"/>
        <v>https://newsapi.org/v2/everything?domains=criticalfallibilism.com&amp;apiKey=7d4cb29b783f48c8a1837901e959f134</v>
      </c>
      <c r="N170" s="6">
        <v>0.0</v>
      </c>
      <c r="O170" s="6" t="s">
        <v>39</v>
      </c>
      <c r="P170" s="6"/>
      <c r="Q170" s="6">
        <v>1.0</v>
      </c>
      <c r="R170" s="6" t="s">
        <v>26</v>
      </c>
      <c r="S170" s="6" t="s">
        <v>27</v>
      </c>
      <c r="T170" s="6" t="s">
        <v>28</v>
      </c>
    </row>
    <row r="171">
      <c r="B171" s="6" t="s">
        <v>439</v>
      </c>
      <c r="C171" s="7" t="str">
        <f t="shared" si="1"/>
        <v/>
      </c>
      <c r="D171" s="7" t="s">
        <v>20</v>
      </c>
      <c r="E171" s="7"/>
      <c r="F171" s="8" t="s">
        <v>440</v>
      </c>
      <c r="G171" s="8" t="s">
        <v>441</v>
      </c>
      <c r="H171" s="9" t="str">
        <f t="shared" si="38"/>
        <v>https://crookedtimber.org</v>
      </c>
      <c r="I171" s="9" t="str">
        <f>IFERROR(__xludf.DUMMYFUNCTION("IF(REGEXMATCH(H171,""www""),RIGHT(H171,LEN(H171)-FIND(""."",H171)+0),if(regexmatch(H171,""https://""),right(H171,len(H171)-find(""/"",H171)-1),H171))"),"crookedtimber.org")</f>
        <v>crookedtimber.org</v>
      </c>
      <c r="J171" s="9" t="str">
        <f t="shared" si="39"/>
        <v>crookedtimber.org</v>
      </c>
      <c r="K171" s="9" t="s">
        <v>23</v>
      </c>
      <c r="L171" s="6" t="s">
        <v>176</v>
      </c>
      <c r="M171" s="8" t="str">
        <f t="shared" si="40"/>
        <v>https://newsapi.org/v2/everything?domains=crookedtimber.org&amp;apiKey=7d4cb29b783f48c8a1837901e959f134</v>
      </c>
      <c r="N171" s="6">
        <v>0.0</v>
      </c>
      <c r="O171" s="6" t="s">
        <v>39</v>
      </c>
      <c r="P171" s="6"/>
      <c r="Q171" s="6">
        <v>1.0</v>
      </c>
      <c r="R171" s="6" t="s">
        <v>26</v>
      </c>
      <c r="S171" s="6" t="s">
        <v>27</v>
      </c>
      <c r="T171" s="6" t="s">
        <v>70</v>
      </c>
    </row>
    <row r="172">
      <c r="B172" s="6" t="s">
        <v>442</v>
      </c>
      <c r="C172" s="7" t="str">
        <f t="shared" si="1"/>
        <v/>
      </c>
      <c r="D172" s="7" t="s">
        <v>30</v>
      </c>
      <c r="E172" s="7"/>
      <c r="F172" s="8" t="s">
        <v>443</v>
      </c>
      <c r="G172" s="8" t="s">
        <v>444</v>
      </c>
      <c r="H172" s="9" t="str">
        <f t="shared" si="38"/>
        <v>https://www.crunchbase.com</v>
      </c>
      <c r="I172" s="9" t="str">
        <f>IFERROR(__xludf.DUMMYFUNCTION("IF(REGEXMATCH(H172,""www""),RIGHT(H172,LEN(H172)-FIND(""."",H172)+0),if(regexmatch(H172,""https://""),right(H172,len(H172)-find(""/"",H172)-1),H172))"),"crunchbase.com")</f>
        <v>crunchbase.com</v>
      </c>
      <c r="J172" s="9" t="str">
        <f t="shared" si="39"/>
        <v>crunchbase.com</v>
      </c>
      <c r="K172" s="9" t="s">
        <v>23</v>
      </c>
      <c r="L172" s="6" t="s">
        <v>24</v>
      </c>
      <c r="M172" s="8" t="str">
        <f t="shared" si="40"/>
        <v>https://newsapi.org/v2/everything?domains=crunchbase.com&amp;apiKey=ae2ad3e68d4e4daca149bbfb9b61c010</v>
      </c>
      <c r="N172" s="6">
        <v>1.0</v>
      </c>
      <c r="O172" s="6" t="s">
        <v>25</v>
      </c>
      <c r="P172" s="6"/>
      <c r="Q172" s="6">
        <v>1.0</v>
      </c>
      <c r="R172" s="6" t="s">
        <v>26</v>
      </c>
      <c r="S172" s="6" t="s">
        <v>27</v>
      </c>
      <c r="T172" s="6" t="s">
        <v>76</v>
      </c>
    </row>
    <row r="173">
      <c r="B173" s="6" t="s">
        <v>445</v>
      </c>
      <c r="C173" s="7" t="str">
        <f t="shared" si="1"/>
        <v/>
      </c>
      <c r="D173" s="7" t="s">
        <v>30</v>
      </c>
      <c r="E173" s="7"/>
      <c r="F173" s="8" t="s">
        <v>446</v>
      </c>
      <c r="G173" s="8" t="s">
        <v>447</v>
      </c>
      <c r="H173" s="9" t="str">
        <f t="shared" si="38"/>
        <v>https://cryptomarketpool.com</v>
      </c>
      <c r="I173" s="9" t="str">
        <f>IFERROR(__xludf.DUMMYFUNCTION("IF(REGEXMATCH(H173,""www""),RIGHT(H173,LEN(H173)-FIND(""."",H173)+0),if(regexmatch(H173,""https://""),right(H173,len(H173)-find(""/"",H173)-1),H173))"),"cryptomarketpool.com")</f>
        <v>cryptomarketpool.com</v>
      </c>
      <c r="J173" s="9" t="str">
        <f t="shared" si="39"/>
        <v>cryptomarketpool.com</v>
      </c>
      <c r="K173" s="9" t="s">
        <v>23</v>
      </c>
      <c r="L173" s="6" t="s">
        <v>24</v>
      </c>
      <c r="M173" s="8" t="str">
        <f t="shared" si="40"/>
        <v>https://newsapi.org/v2/everything?domains=cryptomarketpool.com&amp;apiKey=ae2ad3e68d4e4daca149bbfb9b61c010</v>
      </c>
      <c r="N173" s="6">
        <v>0.0</v>
      </c>
      <c r="O173" s="6" t="s">
        <v>39</v>
      </c>
      <c r="P173" s="6"/>
      <c r="Q173" s="6">
        <v>1.0</v>
      </c>
      <c r="R173" s="6" t="s">
        <v>26</v>
      </c>
      <c r="S173" s="6" t="s">
        <v>27</v>
      </c>
      <c r="T173" s="6" t="s">
        <v>245</v>
      </c>
    </row>
    <row r="174">
      <c r="B174" s="6" t="s">
        <v>448</v>
      </c>
      <c r="C174" s="7" t="str">
        <f t="shared" si="1"/>
        <v/>
      </c>
      <c r="D174" s="7" t="s">
        <v>20</v>
      </c>
      <c r="E174" s="1"/>
      <c r="F174" s="8" t="s">
        <v>449</v>
      </c>
      <c r="G174" s="1"/>
      <c r="M174" s="1"/>
      <c r="N174" s="6">
        <v>1.0</v>
      </c>
      <c r="O174" s="6" t="s">
        <v>25</v>
      </c>
      <c r="P174" s="6"/>
      <c r="Q174" s="6">
        <v>1.0</v>
      </c>
      <c r="R174" s="6" t="s">
        <v>26</v>
      </c>
      <c r="S174" s="6" t="s">
        <v>27</v>
      </c>
      <c r="T174" s="6" t="s">
        <v>245</v>
      </c>
    </row>
    <row r="175">
      <c r="B175" s="6" t="s">
        <v>450</v>
      </c>
      <c r="C175" s="7" t="str">
        <f t="shared" si="1"/>
        <v/>
      </c>
      <c r="D175" s="7" t="s">
        <v>50</v>
      </c>
      <c r="E175" s="7">
        <v>3.0</v>
      </c>
      <c r="F175" s="7"/>
      <c r="G175" s="8" t="s">
        <v>451</v>
      </c>
      <c r="H175" s="9" t="str">
        <f t="shared" ref="H175:H176" si="41">LEFT(G175, LEN(G175)-1)</f>
        <v>https://www.csis.org</v>
      </c>
      <c r="I175" s="9" t="str">
        <f>IFERROR(__xludf.DUMMYFUNCTION("IF(REGEXMATCH(H175,""www""),RIGHT(H175,LEN(H175)-FIND(""."",H175)+0),if(regexmatch(H175,""https://""),right(H175,len(H175)-find(""/"",H175)-1),H175))"),"csis.org")</f>
        <v>csis.org</v>
      </c>
      <c r="J175" s="9" t="str">
        <f t="shared" ref="J175:J176" si="42">I175</f>
        <v>csis.org</v>
      </c>
      <c r="K175" s="9" t="s">
        <v>23</v>
      </c>
      <c r="L175" s="6" t="s">
        <v>176</v>
      </c>
      <c r="M175" s="8" t="str">
        <f t="shared" ref="M175:M176" si="43">K175&amp;J175&amp;L175</f>
        <v>https://newsapi.org/v2/everything?domains=csis.org&amp;apiKey=7d4cb29b783f48c8a1837901e959f134</v>
      </c>
      <c r="N175" s="6">
        <v>1.0</v>
      </c>
      <c r="O175" s="6" t="s">
        <v>25</v>
      </c>
      <c r="P175" s="6"/>
      <c r="Q175" s="6">
        <v>1.0</v>
      </c>
      <c r="R175" s="6" t="s">
        <v>26</v>
      </c>
      <c r="S175" s="6" t="s">
        <v>27</v>
      </c>
      <c r="T175" s="6" t="s">
        <v>241</v>
      </c>
    </row>
    <row r="176">
      <c r="B176" s="6" t="s">
        <v>452</v>
      </c>
      <c r="C176" s="7" t="str">
        <f t="shared" si="1"/>
        <v/>
      </c>
      <c r="D176" s="7" t="s">
        <v>50</v>
      </c>
      <c r="E176" s="7">
        <v>3.0</v>
      </c>
      <c r="F176" s="1"/>
      <c r="G176" s="8" t="s">
        <v>453</v>
      </c>
      <c r="H176" s="9" t="str">
        <f t="shared" si="41"/>
        <v>https://www.curbed.com</v>
      </c>
      <c r="I176" s="9" t="str">
        <f>IFERROR(__xludf.DUMMYFUNCTION("IF(REGEXMATCH(H176,""www""),RIGHT(H176,LEN(H176)-FIND(""."",H176)+0),if(regexmatch(H176,""https://""),right(H176,len(H176)-find(""/"",H176)-1),H176))"),"curbed.com")</f>
        <v>curbed.com</v>
      </c>
      <c r="J176" s="9" t="str">
        <f t="shared" si="42"/>
        <v>curbed.com</v>
      </c>
      <c r="K176" s="9" t="s">
        <v>23</v>
      </c>
      <c r="L176" s="6" t="s">
        <v>24</v>
      </c>
      <c r="M176" s="8" t="str">
        <f t="shared" si="43"/>
        <v>https://newsapi.org/v2/everything?domains=curbed.com&amp;apiKey=ae2ad3e68d4e4daca149bbfb9b61c010</v>
      </c>
      <c r="N176" s="6">
        <v>1.0</v>
      </c>
      <c r="O176" s="6" t="s">
        <v>25</v>
      </c>
      <c r="P176" s="6">
        <v>1.0</v>
      </c>
      <c r="Q176" s="6">
        <v>1.0</v>
      </c>
      <c r="R176" s="6" t="s">
        <v>26</v>
      </c>
      <c r="S176" s="6" t="s">
        <v>27</v>
      </c>
      <c r="T176" s="6" t="s">
        <v>61</v>
      </c>
    </row>
    <row r="177">
      <c r="B177" s="6" t="s">
        <v>454</v>
      </c>
      <c r="C177" s="7" t="str">
        <f t="shared" si="1"/>
        <v>Daily Jstor</v>
      </c>
      <c r="D177" s="6" t="s">
        <v>30</v>
      </c>
      <c r="E177" s="7"/>
      <c r="F177" s="8" t="s">
        <v>455</v>
      </c>
      <c r="G177" s="7"/>
      <c r="H177" s="10"/>
      <c r="I177" s="10"/>
      <c r="J177" s="10"/>
      <c r="K177" s="10"/>
      <c r="L177" s="6"/>
      <c r="M177" s="7"/>
      <c r="N177" s="6">
        <v>0.0</v>
      </c>
      <c r="O177" s="6" t="s">
        <v>25</v>
      </c>
      <c r="P177" s="6"/>
      <c r="Q177" s="6">
        <v>1.0</v>
      </c>
      <c r="R177" s="6" t="s">
        <v>26</v>
      </c>
      <c r="S177" s="6" t="s">
        <v>27</v>
      </c>
      <c r="T177" s="6" t="s">
        <v>67</v>
      </c>
    </row>
    <row r="178">
      <c r="B178" s="6" t="s">
        <v>456</v>
      </c>
      <c r="C178" s="7" t="str">
        <f t="shared" si="1"/>
        <v>Daily Jstor</v>
      </c>
      <c r="D178" s="6" t="s">
        <v>30</v>
      </c>
      <c r="E178" s="7"/>
      <c r="F178" s="8" t="s">
        <v>457</v>
      </c>
      <c r="G178" s="7"/>
      <c r="H178" s="10"/>
      <c r="I178" s="10"/>
      <c r="J178" s="10"/>
      <c r="K178" s="10"/>
      <c r="L178" s="6"/>
      <c r="M178" s="7"/>
      <c r="N178" s="6">
        <v>0.0</v>
      </c>
      <c r="O178" s="6" t="s">
        <v>25</v>
      </c>
      <c r="P178" s="6"/>
      <c r="Q178" s="6">
        <v>1.0</v>
      </c>
      <c r="R178" s="6" t="s">
        <v>26</v>
      </c>
      <c r="S178" s="6" t="s">
        <v>27</v>
      </c>
      <c r="T178" s="6" t="s">
        <v>73</v>
      </c>
    </row>
    <row r="179">
      <c r="B179" s="6" t="s">
        <v>458</v>
      </c>
      <c r="C179" s="7" t="str">
        <f t="shared" si="1"/>
        <v>Daily Jstor</v>
      </c>
      <c r="D179" s="6" t="s">
        <v>30</v>
      </c>
      <c r="E179" s="7"/>
      <c r="F179" s="8" t="s">
        <v>459</v>
      </c>
      <c r="G179" s="7"/>
      <c r="H179" s="10"/>
      <c r="I179" s="10"/>
      <c r="J179" s="10"/>
      <c r="K179" s="10"/>
      <c r="L179" s="6"/>
      <c r="M179" s="7"/>
      <c r="N179" s="6">
        <v>0.0</v>
      </c>
      <c r="O179" s="6" t="s">
        <v>25</v>
      </c>
      <c r="P179" s="6"/>
      <c r="Q179" s="6">
        <v>1.0</v>
      </c>
      <c r="R179" s="6" t="s">
        <v>26</v>
      </c>
      <c r="S179" s="6" t="s">
        <v>27</v>
      </c>
      <c r="T179" s="6" t="s">
        <v>48</v>
      </c>
    </row>
    <row r="180">
      <c r="B180" s="6" t="s">
        <v>460</v>
      </c>
      <c r="C180" s="7" t="str">
        <f t="shared" si="1"/>
        <v>Daily Jstor</v>
      </c>
      <c r="D180" s="6" t="s">
        <v>30</v>
      </c>
      <c r="E180" s="7"/>
      <c r="F180" s="8" t="s">
        <v>461</v>
      </c>
      <c r="G180" s="7"/>
      <c r="H180" s="10"/>
      <c r="I180" s="10"/>
      <c r="J180" s="10"/>
      <c r="K180" s="10"/>
      <c r="L180" s="6"/>
      <c r="M180" s="7"/>
      <c r="N180" s="6">
        <v>0.0</v>
      </c>
      <c r="O180" s="6" t="s">
        <v>25</v>
      </c>
      <c r="P180" s="6"/>
      <c r="Q180" s="6">
        <v>1.0</v>
      </c>
      <c r="R180" s="6" t="s">
        <v>26</v>
      </c>
      <c r="S180" s="6" t="s">
        <v>27</v>
      </c>
      <c r="T180" s="6" t="s">
        <v>248</v>
      </c>
    </row>
    <row r="181">
      <c r="B181" s="6" t="s">
        <v>462</v>
      </c>
      <c r="C181" s="7" t="str">
        <f t="shared" si="1"/>
        <v>Daily Jstor</v>
      </c>
      <c r="D181" s="6" t="s">
        <v>30</v>
      </c>
      <c r="E181" s="7"/>
      <c r="F181" s="8" t="s">
        <v>463</v>
      </c>
      <c r="G181" s="7"/>
      <c r="H181" s="10"/>
      <c r="I181" s="10"/>
      <c r="J181" s="10"/>
      <c r="K181" s="10"/>
      <c r="L181" s="6"/>
      <c r="M181" s="7"/>
      <c r="N181" s="6">
        <v>0.0</v>
      </c>
      <c r="O181" s="6" t="s">
        <v>25</v>
      </c>
      <c r="P181" s="6"/>
      <c r="Q181" s="6">
        <v>1.0</v>
      </c>
      <c r="R181" s="6" t="s">
        <v>26</v>
      </c>
      <c r="S181" s="6" t="s">
        <v>27</v>
      </c>
      <c r="T181" s="6" t="s">
        <v>90</v>
      </c>
    </row>
    <row r="182">
      <c r="B182" s="6" t="s">
        <v>464</v>
      </c>
      <c r="C182" s="7" t="str">
        <f t="shared" si="1"/>
        <v>Daily Jstor</v>
      </c>
      <c r="D182" s="6" t="s">
        <v>30</v>
      </c>
      <c r="E182" s="7"/>
      <c r="F182" s="8" t="s">
        <v>465</v>
      </c>
      <c r="G182" s="7"/>
      <c r="H182" s="10"/>
      <c r="I182" s="10"/>
      <c r="J182" s="10"/>
      <c r="K182" s="10"/>
      <c r="L182" s="6"/>
      <c r="M182" s="7"/>
      <c r="N182" s="6">
        <v>0.0</v>
      </c>
      <c r="O182" s="6" t="s">
        <v>25</v>
      </c>
      <c r="P182" s="6"/>
      <c r="Q182" s="6">
        <v>1.0</v>
      </c>
      <c r="R182" s="6" t="s">
        <v>26</v>
      </c>
      <c r="S182" s="6" t="s">
        <v>27</v>
      </c>
      <c r="T182" s="6" t="s">
        <v>107</v>
      </c>
    </row>
    <row r="183">
      <c r="B183" s="6" t="s">
        <v>466</v>
      </c>
      <c r="C183" s="7" t="str">
        <f t="shared" si="1"/>
        <v>Daily Jstor</v>
      </c>
      <c r="D183" s="6" t="s">
        <v>30</v>
      </c>
      <c r="E183" s="7"/>
      <c r="F183" s="8" t="s">
        <v>467</v>
      </c>
      <c r="G183" s="7"/>
      <c r="H183" s="10"/>
      <c r="I183" s="10"/>
      <c r="J183" s="10"/>
      <c r="K183" s="10"/>
      <c r="L183" s="6"/>
      <c r="M183" s="7"/>
      <c r="N183" s="6">
        <v>0.0</v>
      </c>
      <c r="O183" s="6" t="s">
        <v>25</v>
      </c>
      <c r="P183" s="6"/>
      <c r="Q183" s="6">
        <v>1.0</v>
      </c>
      <c r="R183" s="6" t="s">
        <v>26</v>
      </c>
      <c r="S183" s="6" t="s">
        <v>27</v>
      </c>
      <c r="T183" s="6" t="s">
        <v>101</v>
      </c>
    </row>
    <row r="184">
      <c r="B184" s="6" t="s">
        <v>468</v>
      </c>
      <c r="C184" s="7" t="str">
        <f t="shared" si="1"/>
        <v>Daily Jstor</v>
      </c>
      <c r="D184" s="6" t="s">
        <v>30</v>
      </c>
      <c r="E184" s="7"/>
      <c r="F184" s="8" t="s">
        <v>469</v>
      </c>
      <c r="G184" s="7"/>
      <c r="H184" s="10"/>
      <c r="I184" s="10"/>
      <c r="J184" s="10"/>
      <c r="K184" s="10"/>
      <c r="L184" s="6"/>
      <c r="M184" s="7"/>
      <c r="N184" s="6">
        <v>0.0</v>
      </c>
      <c r="O184" s="6" t="s">
        <v>25</v>
      </c>
      <c r="P184" s="6"/>
      <c r="Q184" s="6">
        <v>1.0</v>
      </c>
      <c r="R184" s="6" t="s">
        <v>26</v>
      </c>
      <c r="S184" s="6" t="s">
        <v>27</v>
      </c>
      <c r="T184" s="6" t="s">
        <v>131</v>
      </c>
    </row>
    <row r="185">
      <c r="B185" s="6" t="s">
        <v>470</v>
      </c>
      <c r="C185" s="7" t="str">
        <f t="shared" si="1"/>
        <v>Daily Jstor</v>
      </c>
      <c r="D185" s="6" t="s">
        <v>30</v>
      </c>
      <c r="E185" s="7"/>
      <c r="F185" s="8" t="s">
        <v>471</v>
      </c>
      <c r="G185" s="7"/>
      <c r="H185" s="10"/>
      <c r="I185" s="10"/>
      <c r="J185" s="10"/>
      <c r="K185" s="10"/>
      <c r="L185" s="6"/>
      <c r="M185" s="7"/>
      <c r="N185" s="6">
        <v>0.0</v>
      </c>
      <c r="O185" s="6" t="s">
        <v>25</v>
      </c>
      <c r="P185" s="6"/>
      <c r="Q185" s="6">
        <v>1.0</v>
      </c>
      <c r="R185" s="6" t="s">
        <v>26</v>
      </c>
      <c r="S185" s="6" t="s">
        <v>27</v>
      </c>
      <c r="T185" s="6" t="s">
        <v>32</v>
      </c>
    </row>
    <row r="186">
      <c r="B186" s="6" t="s">
        <v>472</v>
      </c>
      <c r="C186" s="7" t="str">
        <f t="shared" si="1"/>
        <v>Daily Jstor</v>
      </c>
      <c r="D186" s="6" t="s">
        <v>30</v>
      </c>
      <c r="E186" s="7"/>
      <c r="F186" s="8" t="s">
        <v>461</v>
      </c>
      <c r="G186" s="7"/>
      <c r="H186" s="10"/>
      <c r="I186" s="10"/>
      <c r="J186" s="10"/>
      <c r="K186" s="10"/>
      <c r="L186" s="6"/>
      <c r="M186" s="7"/>
      <c r="N186" s="6">
        <v>0.0</v>
      </c>
      <c r="O186" s="6" t="s">
        <v>25</v>
      </c>
      <c r="P186" s="6"/>
      <c r="Q186" s="6">
        <v>1.0</v>
      </c>
      <c r="R186" s="6" t="s">
        <v>26</v>
      </c>
      <c r="S186" s="6" t="s">
        <v>27</v>
      </c>
      <c r="T186" s="6" t="s">
        <v>56</v>
      </c>
    </row>
    <row r="187">
      <c r="B187" s="6" t="s">
        <v>473</v>
      </c>
      <c r="C187" s="7" t="str">
        <f t="shared" si="1"/>
        <v>Daily Jstor</v>
      </c>
      <c r="D187" s="6" t="s">
        <v>30</v>
      </c>
      <c r="E187" s="7"/>
      <c r="F187" s="8" t="s">
        <v>474</v>
      </c>
      <c r="G187" s="7"/>
      <c r="H187" s="10"/>
      <c r="I187" s="10"/>
      <c r="J187" s="10"/>
      <c r="K187" s="10"/>
      <c r="L187" s="6"/>
      <c r="M187" s="7"/>
      <c r="N187" s="6">
        <v>0.0</v>
      </c>
      <c r="O187" s="6" t="s">
        <v>25</v>
      </c>
      <c r="P187" s="6"/>
      <c r="Q187" s="6">
        <v>1.0</v>
      </c>
      <c r="R187" s="6" t="s">
        <v>26</v>
      </c>
      <c r="S187" s="6" t="s">
        <v>27</v>
      </c>
      <c r="T187" s="6" t="s">
        <v>85</v>
      </c>
    </row>
    <row r="188">
      <c r="B188" s="6" t="s">
        <v>475</v>
      </c>
      <c r="C188" s="7" t="str">
        <f t="shared" si="1"/>
        <v>Daily Jstor</v>
      </c>
      <c r="D188" s="6" t="s">
        <v>30</v>
      </c>
      <c r="E188" s="7"/>
      <c r="F188" s="8" t="s">
        <v>476</v>
      </c>
      <c r="G188" s="7"/>
      <c r="H188" s="10"/>
      <c r="I188" s="10"/>
      <c r="J188" s="10"/>
      <c r="K188" s="10"/>
      <c r="L188" s="6"/>
      <c r="M188" s="7"/>
      <c r="N188" s="6">
        <v>0.0</v>
      </c>
      <c r="O188" s="6" t="s">
        <v>25</v>
      </c>
      <c r="P188" s="6"/>
      <c r="Q188" s="6">
        <v>1.0</v>
      </c>
      <c r="R188" s="6" t="s">
        <v>26</v>
      </c>
      <c r="S188" s="6" t="s">
        <v>27</v>
      </c>
      <c r="T188" s="6" t="s">
        <v>76</v>
      </c>
    </row>
    <row r="189">
      <c r="B189" s="6" t="s">
        <v>477</v>
      </c>
      <c r="C189" s="7" t="str">
        <f t="shared" si="1"/>
        <v/>
      </c>
      <c r="D189" s="7" t="s">
        <v>20</v>
      </c>
      <c r="E189" s="7"/>
      <c r="F189" s="8" t="s">
        <v>478</v>
      </c>
      <c r="G189" s="8" t="s">
        <v>479</v>
      </c>
      <c r="H189" s="9" t="str">
        <f t="shared" ref="H189:H190" si="44">LEFT(G189, LEN(G189)-1)</f>
        <v>https://dailynous.com</v>
      </c>
      <c r="I189" s="9" t="str">
        <f>IFERROR(__xludf.DUMMYFUNCTION("IF(REGEXMATCH(H189,""www""),RIGHT(H189,LEN(H189)-FIND(""."",H189)+0),if(regexmatch(H189,""https://""),right(H189,len(H189)-find(""/"",H189)-1),H189))"),"dailynous.com")</f>
        <v>dailynous.com</v>
      </c>
      <c r="J189" s="9" t="str">
        <f t="shared" ref="J189:J190" si="45">I189</f>
        <v>dailynous.com</v>
      </c>
      <c r="K189" s="9" t="s">
        <v>23</v>
      </c>
      <c r="L189" s="6" t="s">
        <v>176</v>
      </c>
      <c r="M189" s="8" t="str">
        <f t="shared" ref="M189:M190" si="46">K189&amp;J189&amp;L189</f>
        <v>https://newsapi.org/v2/everything?domains=dailynous.com&amp;apiKey=7d4cb29b783f48c8a1837901e959f134</v>
      </c>
      <c r="N189" s="6">
        <v>1.0</v>
      </c>
      <c r="O189" s="6" t="s">
        <v>39</v>
      </c>
      <c r="P189" s="6"/>
      <c r="Q189" s="6">
        <v>1.0</v>
      </c>
      <c r="R189" s="6" t="s">
        <v>26</v>
      </c>
      <c r="S189" s="6" t="s">
        <v>27</v>
      </c>
      <c r="T189" s="6" t="s">
        <v>28</v>
      </c>
    </row>
    <row r="190">
      <c r="B190" s="6" t="s">
        <v>480</v>
      </c>
      <c r="C190" s="7" t="str">
        <f t="shared" si="1"/>
        <v/>
      </c>
      <c r="D190" s="7" t="s">
        <v>50</v>
      </c>
      <c r="E190" s="7">
        <v>1.0</v>
      </c>
      <c r="F190" s="7"/>
      <c r="G190" s="8" t="s">
        <v>481</v>
      </c>
      <c r="H190" s="9" t="str">
        <f t="shared" si="44"/>
        <v>https://www.damninteresting.com</v>
      </c>
      <c r="I190" s="9" t="str">
        <f>IFERROR(__xludf.DUMMYFUNCTION("IF(REGEXMATCH(H190,""www""),RIGHT(H190,LEN(H190)-FIND(""."",H190)+0),if(regexmatch(H190,""https://""),right(H190,len(H190)-find(""/"",H190)-1),H190))"),"damninteresting.com")</f>
        <v>damninteresting.com</v>
      </c>
      <c r="J190" s="9" t="str">
        <f t="shared" si="45"/>
        <v>damninteresting.com</v>
      </c>
      <c r="K190" s="9" t="s">
        <v>23</v>
      </c>
      <c r="L190" s="6" t="s">
        <v>176</v>
      </c>
      <c r="M190" s="8" t="str">
        <f t="shared" si="46"/>
        <v>https://newsapi.org/v2/everything?domains=damninteresting.com&amp;apiKey=7d4cb29b783f48c8a1837901e959f134</v>
      </c>
      <c r="N190" s="6">
        <v>0.0</v>
      </c>
      <c r="O190" s="6" t="s">
        <v>25</v>
      </c>
      <c r="P190" s="6"/>
      <c r="Q190" s="6">
        <v>1.0</v>
      </c>
      <c r="R190" s="6" t="s">
        <v>26</v>
      </c>
      <c r="S190" s="6" t="s">
        <v>27</v>
      </c>
      <c r="T190" s="6" t="s">
        <v>56</v>
      </c>
    </row>
    <row r="191">
      <c r="B191" s="6" t="s">
        <v>482</v>
      </c>
      <c r="C191" s="7" t="str">
        <f t="shared" si="1"/>
        <v/>
      </c>
      <c r="D191" s="7" t="s">
        <v>20</v>
      </c>
      <c r="E191" s="1"/>
      <c r="F191" s="8" t="s">
        <v>483</v>
      </c>
      <c r="G191" s="1"/>
      <c r="M191" s="1"/>
      <c r="N191" s="6">
        <v>1.0</v>
      </c>
      <c r="O191" s="6" t="s">
        <v>25</v>
      </c>
      <c r="P191" s="6"/>
      <c r="Q191" s="6">
        <v>1.0</v>
      </c>
      <c r="R191" s="6" t="s">
        <v>26</v>
      </c>
      <c r="S191" s="6" t="s">
        <v>27</v>
      </c>
      <c r="T191" s="6" t="s">
        <v>76</v>
      </c>
    </row>
    <row r="192">
      <c r="B192" s="6" t="s">
        <v>484</v>
      </c>
      <c r="C192" s="7" t="str">
        <f t="shared" si="1"/>
        <v/>
      </c>
      <c r="D192" s="7" t="s">
        <v>20</v>
      </c>
      <c r="E192" s="7"/>
      <c r="F192" s="8" t="s">
        <v>485</v>
      </c>
      <c r="G192" s="8" t="s">
        <v>486</v>
      </c>
      <c r="H192" s="9" t="str">
        <f t="shared" ref="H192:H196" si="47">LEFT(G192, LEN(G192)-1)</f>
        <v>https://daniellakens.blogspot.com</v>
      </c>
      <c r="I192" s="9" t="str">
        <f>IFERROR(__xludf.DUMMYFUNCTION("IF(REGEXMATCH(H192,""www""),RIGHT(H192,LEN(H192)-FIND(""."",H192)+0),if(regexmatch(H192,""https://""),right(H192,len(H192)-find(""/"",H192)-1),H192))"),"daniellakens.blogspot.com")</f>
        <v>daniellakens.blogspot.com</v>
      </c>
      <c r="J192" s="9" t="str">
        <f t="shared" ref="J192:J196" si="48">I192</f>
        <v>daniellakens.blogspot.com</v>
      </c>
      <c r="K192" s="9" t="s">
        <v>23</v>
      </c>
      <c r="L192" s="6" t="s">
        <v>176</v>
      </c>
      <c r="M192" s="8" t="str">
        <f t="shared" ref="M192:M196" si="49">K192&amp;J192&amp;L192</f>
        <v>https://newsapi.org/v2/everything?domains=daniellakens.blogspot.com&amp;apiKey=7d4cb29b783f48c8a1837901e959f134</v>
      </c>
      <c r="N192" s="6">
        <v>0.0</v>
      </c>
      <c r="O192" s="6" t="s">
        <v>39</v>
      </c>
      <c r="P192" s="6"/>
      <c r="Q192" s="6">
        <v>1.0</v>
      </c>
      <c r="R192" s="6" t="s">
        <v>26</v>
      </c>
      <c r="S192" s="6" t="s">
        <v>27</v>
      </c>
      <c r="T192" s="6" t="s">
        <v>300</v>
      </c>
    </row>
    <row r="193">
      <c r="B193" s="6" t="s">
        <v>487</v>
      </c>
      <c r="C193" s="7" t="str">
        <f t="shared" si="1"/>
        <v/>
      </c>
      <c r="D193" s="7" t="s">
        <v>20</v>
      </c>
      <c r="E193" s="7"/>
      <c r="F193" s="8" t="s">
        <v>488</v>
      </c>
      <c r="G193" s="8" t="s">
        <v>489</v>
      </c>
      <c r="H193" s="9" t="str">
        <f t="shared" si="47"/>
        <v>https://danluu.com</v>
      </c>
      <c r="I193" s="9" t="str">
        <f>IFERROR(__xludf.DUMMYFUNCTION("IF(REGEXMATCH(H193,""www""),RIGHT(H193,LEN(H193)-FIND(""."",H193)+0),if(regexmatch(H193,""https://""),right(H193,len(H193)-find(""/"",H193)-1),H193))"),"danluu.com")</f>
        <v>danluu.com</v>
      </c>
      <c r="J193" s="9" t="str">
        <f t="shared" si="48"/>
        <v>danluu.com</v>
      </c>
      <c r="K193" s="9" t="s">
        <v>23</v>
      </c>
      <c r="L193" s="6" t="s">
        <v>176</v>
      </c>
      <c r="M193" s="8" t="str">
        <f t="shared" si="49"/>
        <v>https://newsapi.org/v2/everything?domains=danluu.com&amp;apiKey=7d4cb29b783f48c8a1837901e959f134</v>
      </c>
      <c r="N193" s="6">
        <v>0.0</v>
      </c>
      <c r="O193" s="6" t="s">
        <v>39</v>
      </c>
      <c r="P193" s="6"/>
      <c r="Q193" s="6">
        <v>1.0</v>
      </c>
      <c r="R193" s="6" t="s">
        <v>26</v>
      </c>
      <c r="S193" s="6" t="s">
        <v>27</v>
      </c>
      <c r="T193" s="6" t="s">
        <v>76</v>
      </c>
    </row>
    <row r="194">
      <c r="B194" s="6" t="s">
        <v>490</v>
      </c>
      <c r="C194" s="7" t="str">
        <f t="shared" si="1"/>
        <v/>
      </c>
      <c r="D194" s="7" t="s">
        <v>20</v>
      </c>
      <c r="E194" s="7"/>
      <c r="F194" s="8" t="s">
        <v>491</v>
      </c>
      <c r="G194" s="8" t="s">
        <v>492</v>
      </c>
      <c r="H194" s="9" t="str">
        <f t="shared" si="47"/>
        <v>http://datacolada.org</v>
      </c>
      <c r="I194" s="9" t="str">
        <f>IFERROR(__xludf.DUMMYFUNCTION("IF(REGEXMATCH(H194,""www""),RIGHT(H194,LEN(H194)-FIND(""."",H194)+0),if(regexmatch(H194,""https://""),right(H194,len(H194)-find(""/"",H194)-1),H194))"),"http://datacolada.org")</f>
        <v>http://datacolada.org</v>
      </c>
      <c r="J194" s="9" t="str">
        <f t="shared" si="48"/>
        <v>http://datacolada.org</v>
      </c>
      <c r="K194" s="9" t="s">
        <v>23</v>
      </c>
      <c r="L194" s="6" t="s">
        <v>176</v>
      </c>
      <c r="M194" s="8" t="str">
        <f t="shared" si="49"/>
        <v>https://newsapi.org/v2/everything?domains=http://datacolada.org&amp;apiKey=7d4cb29b783f48c8a1837901e959f134</v>
      </c>
      <c r="N194" s="6">
        <v>0.0</v>
      </c>
      <c r="O194" s="6" t="s">
        <v>39</v>
      </c>
      <c r="P194" s="6"/>
      <c r="Q194" s="6">
        <v>1.0</v>
      </c>
      <c r="R194" s="6" t="s">
        <v>26</v>
      </c>
      <c r="S194" s="6" t="s">
        <v>27</v>
      </c>
      <c r="T194" s="6" t="s">
        <v>300</v>
      </c>
    </row>
    <row r="195">
      <c r="B195" s="6" t="s">
        <v>493</v>
      </c>
      <c r="C195" s="7" t="str">
        <f t="shared" si="1"/>
        <v/>
      </c>
      <c r="D195" s="7" t="s">
        <v>20</v>
      </c>
      <c r="E195" s="12"/>
      <c r="F195" s="11" t="s">
        <v>494</v>
      </c>
      <c r="G195" s="11" t="s">
        <v>495</v>
      </c>
      <c r="H195" s="9" t="str">
        <f t="shared" si="47"/>
        <v>http://www.davidbordwell.net</v>
      </c>
      <c r="I195" s="9" t="str">
        <f>IFERROR(__xludf.DUMMYFUNCTION("IF(REGEXMATCH(H195,""www""),RIGHT(H195,LEN(H195)-FIND(""."",H195)+0),if(regexmatch(H195,""https://""),right(H195,len(H195)-find(""/"",H195)-1),H195))"),"davidbordwell.net")</f>
        <v>davidbordwell.net</v>
      </c>
      <c r="J195" s="9" t="str">
        <f t="shared" si="48"/>
        <v>davidbordwell.net</v>
      </c>
      <c r="K195" s="9" t="s">
        <v>23</v>
      </c>
      <c r="L195" s="6" t="s">
        <v>176</v>
      </c>
      <c r="M195" s="8" t="str">
        <f t="shared" si="49"/>
        <v>https://newsapi.org/v2/everything?domains=davidbordwell.net&amp;apiKey=7d4cb29b783f48c8a1837901e959f134</v>
      </c>
      <c r="N195" s="6">
        <v>0.0</v>
      </c>
      <c r="O195" s="6" t="s">
        <v>39</v>
      </c>
      <c r="P195" s="6"/>
      <c r="Q195" s="6">
        <v>1.0</v>
      </c>
      <c r="R195" s="6" t="s">
        <v>26</v>
      </c>
      <c r="S195" s="6" t="s">
        <v>27</v>
      </c>
      <c r="T195" s="6" t="s">
        <v>90</v>
      </c>
    </row>
    <row r="196">
      <c r="B196" s="6" t="s">
        <v>496</v>
      </c>
      <c r="C196" s="7" t="str">
        <f t="shared" si="1"/>
        <v/>
      </c>
      <c r="D196" s="7" t="s">
        <v>50</v>
      </c>
      <c r="E196" s="7">
        <v>5.0</v>
      </c>
      <c r="F196" s="7"/>
      <c r="G196" s="8" t="s">
        <v>497</v>
      </c>
      <c r="H196" s="9" t="str">
        <f t="shared" si="47"/>
        <v>https://davidduchemin.com</v>
      </c>
      <c r="I196" s="9" t="str">
        <f>IFERROR(__xludf.DUMMYFUNCTION("IF(REGEXMATCH(H196,""www""),RIGHT(H196,LEN(H196)-FIND(""."",H196)+0),if(regexmatch(H196,""https://""),right(H196,len(H196)-find(""/"",H196)-1),H196))"),"davidduchemin.com")</f>
        <v>davidduchemin.com</v>
      </c>
      <c r="J196" s="9" t="str">
        <f t="shared" si="48"/>
        <v>davidduchemin.com</v>
      </c>
      <c r="K196" s="9" t="s">
        <v>23</v>
      </c>
      <c r="L196" s="6" t="s">
        <v>176</v>
      </c>
      <c r="M196" s="8" t="str">
        <f t="shared" si="49"/>
        <v>https://newsapi.org/v2/everything?domains=davidduchemin.com&amp;apiKey=7d4cb29b783f48c8a1837901e959f134</v>
      </c>
      <c r="N196" s="6">
        <v>0.0</v>
      </c>
      <c r="O196" s="6" t="s">
        <v>39</v>
      </c>
      <c r="P196" s="6"/>
      <c r="Q196" s="6">
        <v>1.0</v>
      </c>
      <c r="R196" s="6" t="s">
        <v>26</v>
      </c>
      <c r="S196" s="6" t="s">
        <v>27</v>
      </c>
      <c r="T196" s="6" t="s">
        <v>333</v>
      </c>
    </row>
    <row r="197">
      <c r="B197" s="6" t="s">
        <v>498</v>
      </c>
      <c r="C197" s="7" t="str">
        <f t="shared" si="1"/>
        <v/>
      </c>
      <c r="D197" s="7" t="s">
        <v>20</v>
      </c>
      <c r="E197" s="1"/>
      <c r="F197" s="8" t="s">
        <v>499</v>
      </c>
      <c r="G197" s="1"/>
      <c r="M197" s="1"/>
      <c r="N197" s="6">
        <v>0.0</v>
      </c>
      <c r="O197" s="6" t="s">
        <v>43</v>
      </c>
      <c r="P197" s="6"/>
      <c r="Q197" s="6">
        <v>1.0</v>
      </c>
      <c r="R197" s="6" t="s">
        <v>26</v>
      </c>
      <c r="S197" s="6" t="s">
        <v>27</v>
      </c>
      <c r="T197" s="6" t="s">
        <v>70</v>
      </c>
    </row>
    <row r="198">
      <c r="B198" s="6" t="s">
        <v>500</v>
      </c>
      <c r="C198" s="7" t="str">
        <f t="shared" si="1"/>
        <v/>
      </c>
      <c r="D198" s="7" t="s">
        <v>50</v>
      </c>
      <c r="E198" s="7">
        <v>100.0</v>
      </c>
      <c r="F198" s="7"/>
      <c r="G198" s="8" t="s">
        <v>501</v>
      </c>
      <c r="H198" s="9" t="str">
        <f>LEFT(G198, LEN(G198)-1)</f>
        <v>https://www.dazeddigital.com</v>
      </c>
      <c r="I198" s="9" t="str">
        <f>IFERROR(__xludf.DUMMYFUNCTION("IF(REGEXMATCH(H198,""www""),RIGHT(H198,LEN(H198)-FIND(""."",H198)+0),if(regexmatch(H198,""https://""),right(H198,len(H198)-find(""/"",H198)-1),H198))"),"dazeddigital.com")</f>
        <v>dazeddigital.com</v>
      </c>
      <c r="J198" s="9" t="str">
        <f>I198</f>
        <v>dazeddigital.com</v>
      </c>
      <c r="K198" s="9" t="s">
        <v>23</v>
      </c>
      <c r="L198" s="6" t="s">
        <v>24</v>
      </c>
      <c r="M198" s="8" t="str">
        <f>K198&amp;J198&amp;L198</f>
        <v>https://newsapi.org/v2/everything?domains=dazeddigital.com&amp;apiKey=ae2ad3e68d4e4daca149bbfb9b61c010</v>
      </c>
      <c r="N198" s="6">
        <v>1.0</v>
      </c>
      <c r="O198" s="6" t="s">
        <v>25</v>
      </c>
      <c r="P198" s="6"/>
      <c r="Q198" s="6">
        <v>1.0</v>
      </c>
      <c r="R198" s="6" t="s">
        <v>26</v>
      </c>
      <c r="S198" s="6" t="s">
        <v>27</v>
      </c>
      <c r="T198" s="6" t="s">
        <v>285</v>
      </c>
    </row>
    <row r="199">
      <c r="B199" s="6" t="s">
        <v>502</v>
      </c>
      <c r="C199" s="7" t="str">
        <f t="shared" si="1"/>
        <v/>
      </c>
      <c r="D199" s="7" t="s">
        <v>20</v>
      </c>
      <c r="E199" s="1"/>
      <c r="F199" s="11" t="s">
        <v>503</v>
      </c>
      <c r="G199" s="1"/>
      <c r="M199" s="1"/>
      <c r="N199" s="6">
        <v>0.0</v>
      </c>
      <c r="O199" s="6" t="s">
        <v>43</v>
      </c>
      <c r="P199" s="6"/>
      <c r="Q199" s="6">
        <v>1.0</v>
      </c>
      <c r="R199" s="6" t="s">
        <v>26</v>
      </c>
      <c r="S199" s="6" t="s">
        <v>27</v>
      </c>
      <c r="T199" s="6" t="s">
        <v>61</v>
      </c>
    </row>
    <row r="200">
      <c r="B200" s="6" t="s">
        <v>504</v>
      </c>
      <c r="C200" s="7" t="str">
        <f t="shared" si="1"/>
        <v/>
      </c>
      <c r="D200" s="7" t="s">
        <v>30</v>
      </c>
      <c r="E200" s="7"/>
      <c r="F200" s="8" t="s">
        <v>505</v>
      </c>
      <c r="G200" s="8" t="s">
        <v>506</v>
      </c>
      <c r="H200" s="9" t="str">
        <f>LEFT(G200, LEN(G200)-1)</f>
        <v>https://dergigi.com</v>
      </c>
      <c r="I200" s="9" t="str">
        <f>IFERROR(__xludf.DUMMYFUNCTION("IF(REGEXMATCH(H200,""www""),RIGHT(H200,LEN(H200)-FIND(""."",H200)+0),if(regexmatch(H200,""https://""),right(H200,len(H200)-find(""/"",H200)-1),H200))"),"dergigi.com")</f>
        <v>dergigi.com</v>
      </c>
      <c r="J200" s="9" t="str">
        <f>I200</f>
        <v>dergigi.com</v>
      </c>
      <c r="K200" s="9" t="s">
        <v>23</v>
      </c>
      <c r="L200" s="6" t="s">
        <v>176</v>
      </c>
      <c r="M200" s="8" t="str">
        <f>K200&amp;J200&amp;L200</f>
        <v>https://newsapi.org/v2/everything?domains=dergigi.com&amp;apiKey=7d4cb29b783f48c8a1837901e959f134</v>
      </c>
      <c r="N200" s="6">
        <v>0.0</v>
      </c>
      <c r="O200" s="6" t="s">
        <v>39</v>
      </c>
      <c r="P200" s="6"/>
      <c r="Q200" s="6">
        <v>1.0</v>
      </c>
      <c r="R200" s="6" t="s">
        <v>26</v>
      </c>
      <c r="S200" s="6" t="s">
        <v>27</v>
      </c>
      <c r="T200" s="6" t="s">
        <v>245</v>
      </c>
    </row>
    <row r="201">
      <c r="B201" s="6" t="s">
        <v>507</v>
      </c>
      <c r="C201" s="7" t="str">
        <f t="shared" si="1"/>
        <v>Design Boom</v>
      </c>
      <c r="D201" s="7" t="s">
        <v>30</v>
      </c>
      <c r="E201" s="7"/>
      <c r="F201" s="8" t="s">
        <v>508</v>
      </c>
      <c r="G201" s="7"/>
      <c r="H201" s="10"/>
      <c r="I201" s="10"/>
      <c r="J201" s="10"/>
      <c r="K201" s="10"/>
      <c r="L201" s="6"/>
      <c r="M201" s="7"/>
      <c r="N201" s="6">
        <v>0.0</v>
      </c>
      <c r="O201" s="6" t="s">
        <v>25</v>
      </c>
      <c r="P201" s="6"/>
      <c r="Q201" s="6">
        <v>1.0</v>
      </c>
      <c r="R201" s="6" t="s">
        <v>26</v>
      </c>
      <c r="S201" s="6" t="s">
        <v>27</v>
      </c>
      <c r="T201" s="6" t="s">
        <v>61</v>
      </c>
    </row>
    <row r="202">
      <c r="B202" s="6" t="s">
        <v>509</v>
      </c>
      <c r="C202" s="7" t="str">
        <f t="shared" si="1"/>
        <v>Design Boom</v>
      </c>
      <c r="D202" s="7" t="s">
        <v>30</v>
      </c>
      <c r="E202" s="7"/>
      <c r="F202" s="8" t="s">
        <v>510</v>
      </c>
      <c r="G202" s="7"/>
      <c r="H202" s="10"/>
      <c r="I202" s="10"/>
      <c r="J202" s="10"/>
      <c r="K202" s="10"/>
      <c r="L202" s="6"/>
      <c r="M202" s="7"/>
      <c r="N202" s="6">
        <v>0.0</v>
      </c>
      <c r="O202" s="6" t="s">
        <v>25</v>
      </c>
      <c r="P202" s="6"/>
      <c r="Q202" s="6">
        <v>1.0</v>
      </c>
      <c r="R202" s="6" t="s">
        <v>26</v>
      </c>
      <c r="S202" s="6" t="s">
        <v>27</v>
      </c>
      <c r="T202" s="6" t="s">
        <v>67</v>
      </c>
    </row>
    <row r="203">
      <c r="B203" s="6" t="s">
        <v>511</v>
      </c>
      <c r="C203" s="7" t="str">
        <f t="shared" si="1"/>
        <v>Design Boom</v>
      </c>
      <c r="D203" s="7" t="s">
        <v>30</v>
      </c>
      <c r="E203" s="7"/>
      <c r="F203" s="8" t="s">
        <v>512</v>
      </c>
      <c r="G203" s="8" t="s">
        <v>513</v>
      </c>
      <c r="H203" s="9" t="str">
        <f t="shared" ref="H203:H209" si="50">LEFT(G203, LEN(G203)-1)</f>
        <v>https://www.designboom.com</v>
      </c>
      <c r="I203" s="9" t="str">
        <f>IFERROR(__xludf.DUMMYFUNCTION("IF(REGEXMATCH(H203,""www""),RIGHT(H203,LEN(H203)-FIND(""."",H203)+0),if(regexmatch(H203,""https://""),right(H203,len(H203)-find(""/"",H203)-1),H203))"),"designboom.com")</f>
        <v>designboom.com</v>
      </c>
      <c r="J203" s="9" t="str">
        <f t="shared" ref="J203:J209" si="51">I203</f>
        <v>designboom.com</v>
      </c>
      <c r="K203" s="9" t="s">
        <v>23</v>
      </c>
      <c r="L203" s="6" t="s">
        <v>176</v>
      </c>
      <c r="M203" s="8" t="str">
        <f t="shared" ref="M203:M209" si="52">K203&amp;J203&amp;L203</f>
        <v>https://newsapi.org/v2/everything?domains=designboom.com&amp;apiKey=7d4cb29b783f48c8a1837901e959f134</v>
      </c>
      <c r="N203" s="6">
        <v>0.0</v>
      </c>
      <c r="O203" s="6" t="s">
        <v>25</v>
      </c>
      <c r="P203" s="6"/>
      <c r="Q203" s="6">
        <v>1.0</v>
      </c>
      <c r="R203" s="6" t="s">
        <v>26</v>
      </c>
      <c r="S203" s="6" t="s">
        <v>27</v>
      </c>
      <c r="T203" s="6" t="s">
        <v>52</v>
      </c>
    </row>
    <row r="204">
      <c r="B204" s="6" t="s">
        <v>514</v>
      </c>
      <c r="C204" s="7" t="str">
        <f t="shared" si="1"/>
        <v/>
      </c>
      <c r="D204" s="7" t="s">
        <v>30</v>
      </c>
      <c r="E204" s="7"/>
      <c r="F204" s="8" t="s">
        <v>515</v>
      </c>
      <c r="G204" s="8" t="s">
        <v>516</v>
      </c>
      <c r="H204" s="9" t="str">
        <f t="shared" si="50"/>
        <v>https://designnotes.blog.gov.uk</v>
      </c>
      <c r="I204" s="9" t="str">
        <f>IFERROR(__xludf.DUMMYFUNCTION("IF(REGEXMATCH(H204,""www""),RIGHT(H204,LEN(H204)-FIND(""."",H204)+0),if(regexmatch(H204,""https://""),right(H204,len(H204)-find(""/"",H204)-1),H204))"),"designnotes.blog.gov.uk")</f>
        <v>designnotes.blog.gov.uk</v>
      </c>
      <c r="J204" s="9" t="str">
        <f t="shared" si="51"/>
        <v>designnotes.blog.gov.uk</v>
      </c>
      <c r="K204" s="9" t="s">
        <v>23</v>
      </c>
      <c r="L204" s="6" t="s">
        <v>176</v>
      </c>
      <c r="M204" s="8" t="str">
        <f t="shared" si="52"/>
        <v>https://newsapi.org/v2/everything?domains=designnotes.blog.gov.uk&amp;apiKey=7d4cb29b783f48c8a1837901e959f134</v>
      </c>
      <c r="N204" s="6">
        <v>0.0</v>
      </c>
      <c r="O204" s="6" t="s">
        <v>39</v>
      </c>
      <c r="P204" s="6"/>
      <c r="Q204" s="6">
        <v>1.0</v>
      </c>
      <c r="R204" s="6" t="s">
        <v>26</v>
      </c>
      <c r="S204" s="6" t="s">
        <v>27</v>
      </c>
      <c r="T204" s="6" t="s">
        <v>40</v>
      </c>
    </row>
    <row r="205">
      <c r="B205" s="6" t="s">
        <v>517</v>
      </c>
      <c r="C205" s="7" t="str">
        <f t="shared" si="1"/>
        <v/>
      </c>
      <c r="D205" s="7" t="s">
        <v>50</v>
      </c>
      <c r="E205" s="7">
        <v>100.0</v>
      </c>
      <c r="F205" s="7"/>
      <c r="G205" s="8" t="s">
        <v>518</v>
      </c>
      <c r="H205" s="9" t="str">
        <f t="shared" si="50"/>
        <v>https://www.dezeen.com</v>
      </c>
      <c r="I205" s="9" t="str">
        <f>IFERROR(__xludf.DUMMYFUNCTION("IF(REGEXMATCH(H205,""www""),RIGHT(H205,LEN(H205)-FIND(""."",H205)+0),if(regexmatch(H205,""https://""),right(H205,len(H205)-find(""/"",H205)-1),H205))"),"dezeen.com")</f>
        <v>dezeen.com</v>
      </c>
      <c r="J205" s="9" t="str">
        <f t="shared" si="51"/>
        <v>dezeen.com</v>
      </c>
      <c r="K205" s="9" t="s">
        <v>23</v>
      </c>
      <c r="L205" s="6" t="s">
        <v>24</v>
      </c>
      <c r="M205" s="8" t="str">
        <f t="shared" si="52"/>
        <v>https://newsapi.org/v2/everything?domains=dezeen.com&amp;apiKey=ae2ad3e68d4e4daca149bbfb9b61c010</v>
      </c>
      <c r="N205" s="6">
        <v>0.0</v>
      </c>
      <c r="O205" s="6" t="s">
        <v>25</v>
      </c>
      <c r="P205" s="6"/>
      <c r="Q205" s="6">
        <v>1.0</v>
      </c>
      <c r="R205" s="6" t="s">
        <v>26</v>
      </c>
      <c r="S205" s="6" t="s">
        <v>27</v>
      </c>
      <c r="T205" s="6" t="s">
        <v>61</v>
      </c>
    </row>
    <row r="206">
      <c r="B206" s="6" t="s">
        <v>519</v>
      </c>
      <c r="C206" s="7" t="str">
        <f t="shared" si="1"/>
        <v/>
      </c>
      <c r="D206" s="7" t="s">
        <v>20</v>
      </c>
      <c r="E206" s="7"/>
      <c r="F206" s="8" t="s">
        <v>520</v>
      </c>
      <c r="G206" s="8" t="s">
        <v>521</v>
      </c>
      <c r="H206" s="9" t="str">
        <f t="shared" si="50"/>
        <v>https://diamondgeezer.blogspot.com</v>
      </c>
      <c r="I206" s="9" t="str">
        <f>IFERROR(__xludf.DUMMYFUNCTION("IF(REGEXMATCH(H206,""www""),RIGHT(H206,LEN(H206)-FIND(""."",H206)+0),if(regexmatch(H206,""https://""),right(H206,len(H206)-find(""/"",H206)-1),H206))"),"diamondgeezer.blogspot.com")</f>
        <v>diamondgeezer.blogspot.com</v>
      </c>
      <c r="J206" s="9" t="str">
        <f t="shared" si="51"/>
        <v>diamondgeezer.blogspot.com</v>
      </c>
      <c r="K206" s="9" t="s">
        <v>23</v>
      </c>
      <c r="L206" s="6" t="s">
        <v>176</v>
      </c>
      <c r="M206" s="8" t="str">
        <f t="shared" si="52"/>
        <v>https://newsapi.org/v2/everything?domains=diamondgeezer.blogspot.com&amp;apiKey=7d4cb29b783f48c8a1837901e959f134</v>
      </c>
      <c r="N206" s="6">
        <v>0.0</v>
      </c>
      <c r="O206" s="6" t="s">
        <v>39</v>
      </c>
      <c r="P206" s="6"/>
      <c r="Q206" s="6">
        <v>1.0</v>
      </c>
      <c r="R206" s="6" t="s">
        <v>26</v>
      </c>
      <c r="S206" s="6" t="s">
        <v>27</v>
      </c>
      <c r="T206" s="6" t="s">
        <v>56</v>
      </c>
    </row>
    <row r="207">
      <c r="B207" s="6" t="s">
        <v>522</v>
      </c>
      <c r="C207" s="7" t="str">
        <f t="shared" si="1"/>
        <v/>
      </c>
      <c r="D207" s="7" t="s">
        <v>20</v>
      </c>
      <c r="E207" s="7"/>
      <c r="F207" s="8" t="s">
        <v>523</v>
      </c>
      <c r="G207" s="11" t="s">
        <v>524</v>
      </c>
      <c r="H207" s="9" t="str">
        <f t="shared" si="50"/>
        <v>https://thedieline.com</v>
      </c>
      <c r="I207" s="9" t="str">
        <f>IFERROR(__xludf.DUMMYFUNCTION("IF(REGEXMATCH(H207,""www""),RIGHT(H207,LEN(H207)-FIND(""."",H207)+0),if(regexmatch(H207,""https://""),right(H207,len(H207)-find(""/"",H207)-1),H207))"),"thedieline.com")</f>
        <v>thedieline.com</v>
      </c>
      <c r="J207" s="9" t="str">
        <f t="shared" si="51"/>
        <v>thedieline.com</v>
      </c>
      <c r="K207" s="9" t="s">
        <v>23</v>
      </c>
      <c r="L207" s="6" t="s">
        <v>24</v>
      </c>
      <c r="M207" s="8" t="str">
        <f t="shared" si="52"/>
        <v>https://newsapi.org/v2/everything?domains=thedieline.com&amp;apiKey=ae2ad3e68d4e4daca149bbfb9b61c010</v>
      </c>
      <c r="N207" s="6">
        <v>1.0</v>
      </c>
      <c r="O207" s="6" t="s">
        <v>25</v>
      </c>
      <c r="P207" s="6"/>
      <c r="Q207" s="6">
        <v>1.0</v>
      </c>
      <c r="R207" s="6" t="s">
        <v>26</v>
      </c>
      <c r="S207" s="6" t="s">
        <v>27</v>
      </c>
      <c r="T207" s="6" t="s">
        <v>52</v>
      </c>
    </row>
    <row r="208">
      <c r="B208" s="6" t="s">
        <v>525</v>
      </c>
      <c r="C208" s="7" t="str">
        <f t="shared" si="1"/>
        <v/>
      </c>
      <c r="D208" s="7" t="s">
        <v>50</v>
      </c>
      <c r="E208" s="7">
        <v>100.0</v>
      </c>
      <c r="F208" s="7"/>
      <c r="G208" s="8" t="s">
        <v>526</v>
      </c>
      <c r="H208" s="9" t="str">
        <f t="shared" si="50"/>
        <v>https://digiday.com</v>
      </c>
      <c r="I208" s="9" t="str">
        <f>IFERROR(__xludf.DUMMYFUNCTION("IF(REGEXMATCH(H208,""www""),RIGHT(H208,LEN(H208)-FIND(""."",H208)+0),if(regexmatch(H208,""https://""),right(H208,len(H208)-find(""/"",H208)-1),H208))"),"digiday.com")</f>
        <v>digiday.com</v>
      </c>
      <c r="J208" s="9" t="str">
        <f t="shared" si="51"/>
        <v>digiday.com</v>
      </c>
      <c r="K208" s="9" t="s">
        <v>23</v>
      </c>
      <c r="L208" s="6" t="s">
        <v>24</v>
      </c>
      <c r="M208" s="8" t="str">
        <f t="shared" si="52"/>
        <v>https://newsapi.org/v2/everything?domains=digiday.com&amp;apiKey=ae2ad3e68d4e4daca149bbfb9b61c010</v>
      </c>
      <c r="N208" s="6">
        <v>1.0</v>
      </c>
      <c r="O208" s="6" t="s">
        <v>25</v>
      </c>
      <c r="P208" s="6">
        <v>2.0</v>
      </c>
      <c r="Q208" s="6">
        <v>1.0</v>
      </c>
      <c r="R208" s="6" t="s">
        <v>26</v>
      </c>
      <c r="S208" s="6" t="s">
        <v>27</v>
      </c>
      <c r="T208" s="6" t="s">
        <v>329</v>
      </c>
    </row>
    <row r="209">
      <c r="B209" s="6" t="s">
        <v>527</v>
      </c>
      <c r="C209" s="7" t="str">
        <f t="shared" si="1"/>
        <v/>
      </c>
      <c r="D209" s="7" t="s">
        <v>30</v>
      </c>
      <c r="E209" s="12"/>
      <c r="F209" s="11" t="s">
        <v>528</v>
      </c>
      <c r="G209" s="11" t="s">
        <v>529</v>
      </c>
      <c r="H209" s="9" t="str">
        <f t="shared" si="50"/>
        <v>https://www.discogs.com</v>
      </c>
      <c r="I209" s="9" t="str">
        <f>IFERROR(__xludf.DUMMYFUNCTION("IF(REGEXMATCH(H209,""www""),RIGHT(H209,LEN(H209)-FIND(""."",H209)+0),if(regexmatch(H209,""https://""),right(H209,len(H209)-find(""/"",H209)-1),H209))"),"discogs.com")</f>
        <v>discogs.com</v>
      </c>
      <c r="J209" s="9" t="str">
        <f t="shared" si="51"/>
        <v>discogs.com</v>
      </c>
      <c r="K209" s="9" t="s">
        <v>23</v>
      </c>
      <c r="L209" s="6" t="s">
        <v>24</v>
      </c>
      <c r="M209" s="8" t="str">
        <f t="shared" si="52"/>
        <v>https://newsapi.org/v2/everything?domains=discogs.com&amp;apiKey=ae2ad3e68d4e4daca149bbfb9b61c010</v>
      </c>
      <c r="N209" s="6">
        <v>1.0</v>
      </c>
      <c r="O209" s="6" t="s">
        <v>25</v>
      </c>
      <c r="P209" s="6"/>
      <c r="Q209" s="6">
        <v>1.0</v>
      </c>
      <c r="R209" s="6" t="s">
        <v>26</v>
      </c>
      <c r="S209" s="6" t="s">
        <v>27</v>
      </c>
      <c r="T209" s="6" t="s">
        <v>32</v>
      </c>
    </row>
    <row r="210">
      <c r="B210" s="6" t="s">
        <v>530</v>
      </c>
      <c r="C210" s="7" t="str">
        <f t="shared" si="1"/>
        <v/>
      </c>
      <c r="D210" s="7" t="s">
        <v>30</v>
      </c>
      <c r="E210" s="12"/>
      <c r="F210" s="11" t="s">
        <v>531</v>
      </c>
      <c r="G210" s="12"/>
      <c r="H210" s="10"/>
      <c r="I210" s="10"/>
      <c r="J210" s="10"/>
      <c r="K210" s="10"/>
      <c r="L210" s="6"/>
      <c r="M210" s="7"/>
      <c r="N210" s="6">
        <v>0.0</v>
      </c>
      <c r="O210" s="6" t="s">
        <v>39</v>
      </c>
      <c r="P210" s="6"/>
      <c r="Q210" s="6">
        <v>1.0</v>
      </c>
      <c r="R210" s="6" t="s">
        <v>26</v>
      </c>
      <c r="S210" s="6" t="s">
        <v>27</v>
      </c>
      <c r="T210" s="6" t="s">
        <v>90</v>
      </c>
    </row>
    <row r="211">
      <c r="B211" s="6" t="s">
        <v>532</v>
      </c>
      <c r="C211" s="7" t="str">
        <f t="shared" si="1"/>
        <v/>
      </c>
      <c r="D211" s="7" t="s">
        <v>30</v>
      </c>
      <c r="E211" s="12"/>
      <c r="F211" s="11" t="s">
        <v>533</v>
      </c>
      <c r="G211" s="12"/>
      <c r="H211" s="10"/>
      <c r="I211" s="10"/>
      <c r="J211" s="10"/>
      <c r="K211" s="10"/>
      <c r="L211" s="6"/>
      <c r="M211" s="7"/>
      <c r="N211" s="6">
        <v>0.0</v>
      </c>
      <c r="O211" s="6" t="s">
        <v>39</v>
      </c>
      <c r="P211" s="6"/>
      <c r="Q211" s="6">
        <v>1.0</v>
      </c>
      <c r="R211" s="6" t="s">
        <v>26</v>
      </c>
      <c r="S211" s="6" t="s">
        <v>27</v>
      </c>
      <c r="T211" s="6" t="s">
        <v>90</v>
      </c>
    </row>
    <row r="212">
      <c r="B212" s="6" t="s">
        <v>534</v>
      </c>
      <c r="C212" s="7" t="str">
        <f t="shared" si="1"/>
        <v/>
      </c>
      <c r="D212" s="7" t="s">
        <v>30</v>
      </c>
      <c r="E212" s="7"/>
      <c r="F212" s="8" t="s">
        <v>535</v>
      </c>
      <c r="G212" s="8" t="s">
        <v>536</v>
      </c>
      <c r="H212" s="9" t="str">
        <f t="shared" ref="H212:H214" si="53">LEFT(G212, LEN(G212)-1)</f>
        <v>https://divisare.com</v>
      </c>
      <c r="I212" s="9" t="str">
        <f>IFERROR(__xludf.DUMMYFUNCTION("IF(REGEXMATCH(H212,""www""),RIGHT(H212,LEN(H212)-FIND(""."",H212)+0),if(regexmatch(H212,""https://""),right(H212,len(H212)-find(""/"",H212)-1),H212))"),"divisare.com")</f>
        <v>divisare.com</v>
      </c>
      <c r="J212" s="9" t="str">
        <f t="shared" ref="J212:J214" si="54">I212</f>
        <v>divisare.com</v>
      </c>
      <c r="K212" s="9" t="s">
        <v>23</v>
      </c>
      <c r="L212" s="6" t="s">
        <v>176</v>
      </c>
      <c r="M212" s="8" t="str">
        <f t="shared" ref="M212:M214" si="55">K212&amp;J212&amp;L212</f>
        <v>https://newsapi.org/v2/everything?domains=divisare.com&amp;apiKey=7d4cb29b783f48c8a1837901e959f134</v>
      </c>
      <c r="N212" s="6">
        <v>0.0</v>
      </c>
      <c r="O212" s="6" t="s">
        <v>25</v>
      </c>
      <c r="P212" s="6"/>
      <c r="Q212" s="6">
        <v>1.0</v>
      </c>
      <c r="R212" s="6" t="s">
        <v>26</v>
      </c>
      <c r="S212" s="6" t="s">
        <v>27</v>
      </c>
      <c r="T212" s="6" t="s">
        <v>61</v>
      </c>
    </row>
    <row r="213">
      <c r="B213" s="6" t="s">
        <v>537</v>
      </c>
      <c r="C213" s="7" t="str">
        <f t="shared" si="1"/>
        <v/>
      </c>
      <c r="D213" s="7" t="s">
        <v>50</v>
      </c>
      <c r="E213" s="7">
        <v>100.0</v>
      </c>
      <c r="F213" s="7"/>
      <c r="G213" s="8" t="s">
        <v>538</v>
      </c>
      <c r="H213" s="9" t="str">
        <f t="shared" si="53"/>
        <v>https://www.dpreview.com</v>
      </c>
      <c r="I213" s="9" t="str">
        <f>IFERROR(__xludf.DUMMYFUNCTION("IF(REGEXMATCH(H213,""www""),RIGHT(H213,LEN(H213)-FIND(""."",H213)+0),if(regexmatch(H213,""https://""),right(H213,len(H213)-find(""/"",H213)-1),H213))"),"dpreview.com")</f>
        <v>dpreview.com</v>
      </c>
      <c r="J213" s="9" t="str">
        <f t="shared" si="54"/>
        <v>dpreview.com</v>
      </c>
      <c r="K213" s="9" t="s">
        <v>23</v>
      </c>
      <c r="L213" s="6" t="s">
        <v>24</v>
      </c>
      <c r="M213" s="8" t="str">
        <f t="shared" si="55"/>
        <v>https://newsapi.org/v2/everything?domains=dpreview.com&amp;apiKey=ae2ad3e68d4e4daca149bbfb9b61c010</v>
      </c>
      <c r="N213" s="6">
        <v>1.0</v>
      </c>
      <c r="O213" s="6" t="s">
        <v>25</v>
      </c>
      <c r="P213" s="6"/>
      <c r="Q213" s="6">
        <v>1.0</v>
      </c>
      <c r="R213" s="6" t="s">
        <v>26</v>
      </c>
      <c r="S213" s="6" t="s">
        <v>27</v>
      </c>
      <c r="T213" s="6" t="s">
        <v>333</v>
      </c>
    </row>
    <row r="214">
      <c r="B214" s="6" t="s">
        <v>539</v>
      </c>
      <c r="C214" s="7" t="str">
        <f t="shared" si="1"/>
        <v/>
      </c>
      <c r="D214" s="7" t="s">
        <v>30</v>
      </c>
      <c r="E214" s="12"/>
      <c r="F214" s="11" t="s">
        <v>540</v>
      </c>
      <c r="G214" s="11" t="s">
        <v>541</v>
      </c>
      <c r="H214" s="9" t="str">
        <f t="shared" si="53"/>
        <v>https://www.durham.ac.uk</v>
      </c>
      <c r="I214" s="9" t="str">
        <f>IFERROR(__xludf.DUMMYFUNCTION("IF(REGEXMATCH(H214,""www""),RIGHT(H214,LEN(H214)-FIND(""."",H214)+0),if(regexmatch(H214,""https://""),right(H214,len(H214)-find(""/"",H214)-1),H214))"),"durham.ac.uk")</f>
        <v>durham.ac.uk</v>
      </c>
      <c r="J214" s="9" t="str">
        <f t="shared" si="54"/>
        <v>durham.ac.uk</v>
      </c>
      <c r="K214" s="9" t="s">
        <v>23</v>
      </c>
      <c r="L214" s="6" t="s">
        <v>176</v>
      </c>
      <c r="M214" s="8" t="str">
        <f t="shared" si="55"/>
        <v>https://newsapi.org/v2/everything?domains=durham.ac.uk&amp;apiKey=7d4cb29b783f48c8a1837901e959f134</v>
      </c>
      <c r="N214" s="6">
        <v>1.0</v>
      </c>
      <c r="O214" s="6" t="s">
        <v>25</v>
      </c>
      <c r="P214" s="6"/>
      <c r="Q214" s="6">
        <v>1.0</v>
      </c>
      <c r="R214" s="6" t="s">
        <v>26</v>
      </c>
      <c r="S214" s="6" t="s">
        <v>27</v>
      </c>
      <c r="T214" s="6" t="s">
        <v>241</v>
      </c>
    </row>
    <row r="215">
      <c r="B215" s="6" t="s">
        <v>542</v>
      </c>
      <c r="C215" s="7" t="str">
        <f t="shared" si="1"/>
        <v/>
      </c>
      <c r="D215" s="7" t="s">
        <v>20</v>
      </c>
      <c r="E215" s="1"/>
      <c r="F215" s="8" t="s">
        <v>543</v>
      </c>
      <c r="G215" s="1"/>
      <c r="M215" s="1"/>
      <c r="N215" s="6">
        <v>0.0</v>
      </c>
      <c r="O215" s="6" t="s">
        <v>25</v>
      </c>
      <c r="P215" s="6"/>
      <c r="Q215" s="6">
        <v>1.0</v>
      </c>
      <c r="R215" s="6" t="s">
        <v>26</v>
      </c>
      <c r="S215" s="6" t="s">
        <v>27</v>
      </c>
      <c r="T215" s="6" t="s">
        <v>61</v>
      </c>
    </row>
    <row r="216">
      <c r="B216" s="6" t="s">
        <v>544</v>
      </c>
      <c r="C216" s="7" t="str">
        <f t="shared" si="1"/>
        <v/>
      </c>
      <c r="D216" s="7" t="s">
        <v>20</v>
      </c>
      <c r="E216" s="7"/>
      <c r="F216" s="8" t="s">
        <v>545</v>
      </c>
      <c r="G216" s="8" t="s">
        <v>546</v>
      </c>
      <c r="H216" s="9" t="str">
        <f t="shared" ref="H216:H217" si="56">LEFT(G216, LEN(G216)-1)</f>
        <v>https://dynomight.net</v>
      </c>
      <c r="I216" s="9" t="str">
        <f>IFERROR(__xludf.DUMMYFUNCTION("IF(REGEXMATCH(H216,""www""),RIGHT(H216,LEN(H216)-FIND(""."",H216)+0),if(regexmatch(H216,""https://""),right(H216,len(H216)-find(""/"",H216)-1),H216))"),"dynomight.net")</f>
        <v>dynomight.net</v>
      </c>
      <c r="J216" s="9" t="str">
        <f t="shared" ref="J216:J217" si="57">I216</f>
        <v>dynomight.net</v>
      </c>
      <c r="K216" s="9" t="s">
        <v>23</v>
      </c>
      <c r="L216" s="6" t="s">
        <v>176</v>
      </c>
      <c r="M216" s="8" t="str">
        <f t="shared" ref="M216:M217" si="58">K216&amp;J216&amp;L216</f>
        <v>https://newsapi.org/v2/everything?domains=dynomight.net&amp;apiKey=7d4cb29b783f48c8a1837901e959f134</v>
      </c>
      <c r="N216" s="6">
        <v>0.0</v>
      </c>
      <c r="O216" s="6" t="s">
        <v>25</v>
      </c>
      <c r="P216" s="6"/>
      <c r="Q216" s="6">
        <v>1.0</v>
      </c>
      <c r="R216" s="6" t="s">
        <v>26</v>
      </c>
      <c r="S216" s="6" t="s">
        <v>27</v>
      </c>
      <c r="T216" s="6" t="s">
        <v>76</v>
      </c>
    </row>
    <row r="217">
      <c r="B217" s="6" t="s">
        <v>547</v>
      </c>
      <c r="C217" s="7" t="str">
        <f t="shared" si="1"/>
        <v/>
      </c>
      <c r="D217" s="7" t="s">
        <v>50</v>
      </c>
      <c r="E217" s="7">
        <v>100.0</v>
      </c>
      <c r="F217" s="7"/>
      <c r="G217" s="8" t="s">
        <v>548</v>
      </c>
      <c r="H217" s="9" t="str">
        <f t="shared" si="56"/>
        <v>https://elifesciences.org</v>
      </c>
      <c r="I217" s="9" t="str">
        <f>IFERROR(__xludf.DUMMYFUNCTION("IF(REGEXMATCH(H217,""www""),RIGHT(H217,LEN(H217)-FIND(""."",H217)+0),if(regexmatch(H217,""https://""),right(H217,len(H217)-find(""/"",H217)-1),H217))"),"elifesciences.org")</f>
        <v>elifesciences.org</v>
      </c>
      <c r="J217" s="9" t="str">
        <f t="shared" si="57"/>
        <v>elifesciences.org</v>
      </c>
      <c r="K217" s="9" t="s">
        <v>23</v>
      </c>
      <c r="L217" s="6" t="s">
        <v>176</v>
      </c>
      <c r="M217" s="8" t="str">
        <f t="shared" si="58"/>
        <v>https://newsapi.org/v2/everything?domains=elifesciences.org&amp;apiKey=7d4cb29b783f48c8a1837901e959f134</v>
      </c>
      <c r="N217" s="6">
        <v>1.0</v>
      </c>
      <c r="O217" s="6" t="s">
        <v>25</v>
      </c>
      <c r="P217" s="6"/>
      <c r="Q217" s="6">
        <v>1.0</v>
      </c>
      <c r="R217" s="6" t="s">
        <v>26</v>
      </c>
      <c r="S217" s="6" t="s">
        <v>27</v>
      </c>
      <c r="T217" s="6" t="s">
        <v>101</v>
      </c>
    </row>
    <row r="218">
      <c r="B218" s="6" t="s">
        <v>549</v>
      </c>
      <c r="C218" s="7" t="str">
        <f t="shared" si="1"/>
        <v>Earth How</v>
      </c>
      <c r="D218" s="7" t="s">
        <v>30</v>
      </c>
      <c r="E218" s="7"/>
      <c r="F218" s="8" t="s">
        <v>550</v>
      </c>
      <c r="G218" s="7"/>
      <c r="H218" s="10"/>
      <c r="I218" s="10"/>
      <c r="J218" s="10"/>
      <c r="K218" s="10"/>
      <c r="L218" s="6"/>
      <c r="M218" s="7"/>
      <c r="N218" s="6">
        <v>0.0</v>
      </c>
      <c r="O218" s="6" t="s">
        <v>25</v>
      </c>
      <c r="P218" s="6"/>
      <c r="Q218" s="6">
        <v>1.0</v>
      </c>
      <c r="R218" s="6" t="s">
        <v>26</v>
      </c>
      <c r="S218" s="6" t="s">
        <v>27</v>
      </c>
      <c r="T218" s="6" t="s">
        <v>73</v>
      </c>
    </row>
    <row r="219">
      <c r="B219" s="6" t="s">
        <v>551</v>
      </c>
      <c r="C219" s="7" t="str">
        <f t="shared" si="1"/>
        <v>Earth How</v>
      </c>
      <c r="D219" s="7" t="s">
        <v>30</v>
      </c>
      <c r="E219" s="7"/>
      <c r="F219" s="8" t="s">
        <v>552</v>
      </c>
      <c r="G219" s="8" t="s">
        <v>553</v>
      </c>
      <c r="H219" s="9" t="str">
        <f>LEFT(G219, LEN(G219)-1)</f>
        <v>https://earthhow.com</v>
      </c>
      <c r="I219" s="9" t="str">
        <f>IFERROR(__xludf.DUMMYFUNCTION("IF(REGEXMATCH(H219,""www""),RIGHT(H219,LEN(H219)-FIND(""."",H219)+0),if(regexmatch(H219,""https://""),right(H219,len(H219)-find(""/"",H219)-1),H219))"),"earthhow.com")</f>
        <v>earthhow.com</v>
      </c>
      <c r="J219" s="9" t="str">
        <f>I219</f>
        <v>earthhow.com</v>
      </c>
      <c r="K219" s="9" t="s">
        <v>23</v>
      </c>
      <c r="L219" s="6" t="s">
        <v>176</v>
      </c>
      <c r="M219" s="8" t="str">
        <f>K219&amp;J219&amp;L219</f>
        <v>https://newsapi.org/v2/everything?domains=earthhow.com&amp;apiKey=7d4cb29b783f48c8a1837901e959f134</v>
      </c>
      <c r="N219" s="6">
        <v>0.0</v>
      </c>
      <c r="O219" s="6" t="s">
        <v>25</v>
      </c>
      <c r="P219" s="6"/>
      <c r="Q219" s="6">
        <v>1.0</v>
      </c>
      <c r="R219" s="6" t="s">
        <v>26</v>
      </c>
      <c r="S219" s="6" t="s">
        <v>27</v>
      </c>
      <c r="T219" s="6" t="s">
        <v>64</v>
      </c>
    </row>
    <row r="220">
      <c r="B220" s="6" t="s">
        <v>554</v>
      </c>
      <c r="C220" s="7" t="str">
        <f t="shared" si="1"/>
        <v>Earth How</v>
      </c>
      <c r="D220" s="7" t="s">
        <v>30</v>
      </c>
      <c r="E220" s="7"/>
      <c r="F220" s="8" t="s">
        <v>555</v>
      </c>
      <c r="G220" s="7"/>
      <c r="H220" s="10"/>
      <c r="I220" s="10"/>
      <c r="J220" s="10"/>
      <c r="K220" s="10"/>
      <c r="L220" s="6"/>
      <c r="M220" s="7"/>
      <c r="N220" s="6">
        <v>0.0</v>
      </c>
      <c r="O220" s="6" t="s">
        <v>25</v>
      </c>
      <c r="P220" s="6"/>
      <c r="Q220" s="6">
        <v>1.0</v>
      </c>
      <c r="R220" s="6" t="s">
        <v>26</v>
      </c>
      <c r="S220" s="6" t="s">
        <v>27</v>
      </c>
      <c r="T220" s="6" t="s">
        <v>64</v>
      </c>
    </row>
    <row r="221">
      <c r="B221" s="6" t="s">
        <v>556</v>
      </c>
      <c r="C221" s="7" t="str">
        <f t="shared" si="1"/>
        <v>Earth How</v>
      </c>
      <c r="D221" s="7" t="s">
        <v>30</v>
      </c>
      <c r="E221" s="7"/>
      <c r="F221" s="8" t="s">
        <v>557</v>
      </c>
      <c r="G221" s="7"/>
      <c r="H221" s="10"/>
      <c r="I221" s="10"/>
      <c r="J221" s="10"/>
      <c r="K221" s="10"/>
      <c r="L221" s="6"/>
      <c r="M221" s="7"/>
      <c r="N221" s="6">
        <v>0.0</v>
      </c>
      <c r="O221" s="6" t="s">
        <v>25</v>
      </c>
      <c r="P221" s="6"/>
      <c r="Q221" s="6">
        <v>1.0</v>
      </c>
      <c r="R221" s="6" t="s">
        <v>26</v>
      </c>
      <c r="S221" s="6" t="s">
        <v>27</v>
      </c>
      <c r="T221" s="6" t="s">
        <v>85</v>
      </c>
    </row>
    <row r="222">
      <c r="B222" s="6" t="s">
        <v>558</v>
      </c>
      <c r="C222" s="7" t="str">
        <f t="shared" si="1"/>
        <v/>
      </c>
      <c r="D222" s="7" t="s">
        <v>50</v>
      </c>
      <c r="E222" s="7">
        <v>100.0</v>
      </c>
      <c r="F222" s="7"/>
      <c r="G222" s="8" t="s">
        <v>559</v>
      </c>
      <c r="H222" s="9" t="str">
        <f t="shared" ref="H222:H225" si="59">LEFT(G222, LEN(G222)-1)</f>
        <v>https://www.eater.com</v>
      </c>
      <c r="I222" s="9" t="str">
        <f>IFERROR(__xludf.DUMMYFUNCTION("IF(REGEXMATCH(H222,""www""),RIGHT(H222,LEN(H222)-FIND(""."",H222)+0),if(regexmatch(H222,""https://""),right(H222,len(H222)-find(""/"",H222)-1),H222))"),"eater.com")</f>
        <v>eater.com</v>
      </c>
      <c r="J222" s="9" t="str">
        <f t="shared" ref="J222:J225" si="60">I222</f>
        <v>eater.com</v>
      </c>
      <c r="K222" s="9" t="s">
        <v>23</v>
      </c>
      <c r="L222" s="6" t="s">
        <v>176</v>
      </c>
      <c r="M222" s="8" t="str">
        <f t="shared" ref="M222:M225" si="61">K222&amp;J222&amp;L222</f>
        <v>https://newsapi.org/v2/everything?domains=eater.com&amp;apiKey=7d4cb29b783f48c8a1837901e959f134</v>
      </c>
      <c r="N222" s="6">
        <v>1.0</v>
      </c>
      <c r="O222" s="6" t="s">
        <v>25</v>
      </c>
      <c r="P222" s="6"/>
      <c r="Q222" s="6">
        <v>1.0</v>
      </c>
      <c r="R222" s="6" t="s">
        <v>26</v>
      </c>
      <c r="S222" s="6" t="s">
        <v>27</v>
      </c>
      <c r="T222" s="6" t="s">
        <v>44</v>
      </c>
    </row>
    <row r="223">
      <c r="B223" s="6" t="s">
        <v>560</v>
      </c>
      <c r="C223" s="7" t="str">
        <f t="shared" si="1"/>
        <v/>
      </c>
      <c r="D223" s="7" t="s">
        <v>20</v>
      </c>
      <c r="E223" s="7"/>
      <c r="F223" s="8" t="s">
        <v>561</v>
      </c>
      <c r="G223" s="8" t="s">
        <v>562</v>
      </c>
      <c r="H223" s="9" t="str">
        <f t="shared" si="59"/>
        <v>https://ecfr.eu</v>
      </c>
      <c r="I223" s="10" t="str">
        <f>IFERROR(__xludf.DUMMYFUNCTION("IF(REGEXMATCH(H223,""www""),RIGHT(H223,LEN(H223)-FIND(""."",H223)+0),if(regexmatch(H223,""https://""),right(H223,len(H223)-find(""/"",H223)-1),H223))"),"ecfr.eu")</f>
        <v>ecfr.eu</v>
      </c>
      <c r="J223" s="10" t="str">
        <f t="shared" si="60"/>
        <v>ecfr.eu</v>
      </c>
      <c r="K223" s="9" t="s">
        <v>23</v>
      </c>
      <c r="L223" s="6" t="s">
        <v>176</v>
      </c>
      <c r="M223" s="8" t="str">
        <f t="shared" si="61"/>
        <v>https://newsapi.org/v2/everything?domains=ecfr.eu&amp;apiKey=7d4cb29b783f48c8a1837901e959f134</v>
      </c>
      <c r="N223" s="6">
        <v>1.0</v>
      </c>
      <c r="O223" s="6" t="s">
        <v>25</v>
      </c>
      <c r="P223" s="6"/>
      <c r="Q223" s="6">
        <v>1.0</v>
      </c>
      <c r="R223" s="6" t="s">
        <v>26</v>
      </c>
      <c r="S223" s="6" t="s">
        <v>27</v>
      </c>
      <c r="T223" s="6" t="s">
        <v>241</v>
      </c>
    </row>
    <row r="224">
      <c r="B224" s="6" t="s">
        <v>563</v>
      </c>
      <c r="C224" s="7" t="str">
        <f t="shared" si="1"/>
        <v/>
      </c>
      <c r="D224" s="7" t="s">
        <v>20</v>
      </c>
      <c r="E224" s="7"/>
      <c r="F224" s="8" t="s">
        <v>564</v>
      </c>
      <c r="G224" s="8" t="s">
        <v>565</v>
      </c>
      <c r="H224" s="9" t="str">
        <f t="shared" si="59"/>
        <v>http://econbrowser.com</v>
      </c>
      <c r="I224" s="9" t="str">
        <f>IFERROR(__xludf.DUMMYFUNCTION("IF(REGEXMATCH(H224,""www""),RIGHT(H224,LEN(H224)-FIND(""."",H224)+0),if(regexmatch(H224,""https://""),right(H224,len(H224)-find(""/"",H224)-1),H224))"),"http://econbrowser.com")</f>
        <v>http://econbrowser.com</v>
      </c>
      <c r="J224" s="9" t="str">
        <f t="shared" si="60"/>
        <v>http://econbrowser.com</v>
      </c>
      <c r="K224" s="9" t="s">
        <v>23</v>
      </c>
      <c r="L224" s="6" t="s">
        <v>176</v>
      </c>
      <c r="M224" s="8" t="str">
        <f t="shared" si="61"/>
        <v>https://newsapi.org/v2/everything?domains=http://econbrowser.com&amp;apiKey=7d4cb29b783f48c8a1837901e959f134</v>
      </c>
      <c r="N224" s="6">
        <v>0.0</v>
      </c>
      <c r="O224" s="6" t="s">
        <v>39</v>
      </c>
      <c r="P224" s="6"/>
      <c r="Q224" s="6">
        <v>1.0</v>
      </c>
      <c r="R224" s="6" t="s">
        <v>26</v>
      </c>
      <c r="S224" s="6" t="s">
        <v>27</v>
      </c>
      <c r="T224" s="6" t="s">
        <v>248</v>
      </c>
    </row>
    <row r="225">
      <c r="B225" s="6" t="s">
        <v>566</v>
      </c>
      <c r="C225" s="7" t="str">
        <f t="shared" si="1"/>
        <v/>
      </c>
      <c r="D225" s="7" t="s">
        <v>50</v>
      </c>
      <c r="E225" s="7">
        <v>100.0</v>
      </c>
      <c r="F225" s="7"/>
      <c r="G225" s="8" t="s">
        <v>567</v>
      </c>
      <c r="H225" s="9" t="str">
        <f t="shared" si="59"/>
        <v>https://www.econlib.org</v>
      </c>
      <c r="I225" s="9" t="str">
        <f>IFERROR(__xludf.DUMMYFUNCTION("IF(REGEXMATCH(H225,""www""),RIGHT(H225,LEN(H225)-FIND(""."",H225)+0),if(regexmatch(H225,""https://""),right(H225,len(H225)-find(""/"",H225)-1),H225))"),"econlib.org")</f>
        <v>econlib.org</v>
      </c>
      <c r="J225" s="9" t="str">
        <f t="shared" si="60"/>
        <v>econlib.org</v>
      </c>
      <c r="K225" s="9" t="s">
        <v>23</v>
      </c>
      <c r="L225" s="6" t="s">
        <v>24</v>
      </c>
      <c r="M225" s="8" t="str">
        <f t="shared" si="61"/>
        <v>https://newsapi.org/v2/everything?domains=econlib.org&amp;apiKey=ae2ad3e68d4e4daca149bbfb9b61c010</v>
      </c>
      <c r="N225" s="6">
        <v>0.0</v>
      </c>
      <c r="O225" s="6" t="s">
        <v>25</v>
      </c>
      <c r="P225" s="6"/>
      <c r="Q225" s="6">
        <v>1.0</v>
      </c>
      <c r="R225" s="6" t="s">
        <v>26</v>
      </c>
      <c r="S225" s="6" t="s">
        <v>27</v>
      </c>
      <c r="T225" s="6" t="s">
        <v>248</v>
      </c>
    </row>
    <row r="226">
      <c r="B226" s="6" t="s">
        <v>568</v>
      </c>
      <c r="C226" s="7" t="str">
        <f t="shared" si="1"/>
        <v/>
      </c>
      <c r="D226" s="7" t="s">
        <v>20</v>
      </c>
      <c r="E226" s="1"/>
      <c r="F226" s="11" t="s">
        <v>569</v>
      </c>
      <c r="G226" s="1"/>
      <c r="M226" s="1"/>
      <c r="N226" s="6">
        <v>0.0</v>
      </c>
      <c r="O226" s="6" t="s">
        <v>43</v>
      </c>
      <c r="P226" s="6"/>
      <c r="Q226" s="6">
        <v>1.0</v>
      </c>
      <c r="R226" s="6" t="s">
        <v>26</v>
      </c>
      <c r="S226" s="6" t="s">
        <v>27</v>
      </c>
      <c r="T226" s="6" t="s">
        <v>76</v>
      </c>
    </row>
    <row r="227">
      <c r="B227" s="6" t="s">
        <v>570</v>
      </c>
      <c r="C227" s="7" t="str">
        <f t="shared" si="1"/>
        <v>Edge</v>
      </c>
      <c r="D227" s="7" t="s">
        <v>30</v>
      </c>
      <c r="E227" s="1"/>
      <c r="F227" s="8" t="s">
        <v>571</v>
      </c>
      <c r="G227" s="1"/>
      <c r="M227" s="1"/>
      <c r="N227" s="6">
        <v>0.0</v>
      </c>
      <c r="O227" s="6" t="s">
        <v>25</v>
      </c>
      <c r="P227" s="6"/>
      <c r="Q227" s="6">
        <v>1.0</v>
      </c>
      <c r="R227" s="6" t="s">
        <v>26</v>
      </c>
      <c r="S227" s="6" t="s">
        <v>27</v>
      </c>
      <c r="T227" s="6" t="s">
        <v>28</v>
      </c>
    </row>
    <row r="228">
      <c r="B228" s="6" t="s">
        <v>572</v>
      </c>
      <c r="C228" s="7" t="str">
        <f t="shared" si="1"/>
        <v>Edge</v>
      </c>
      <c r="D228" s="7" t="s">
        <v>30</v>
      </c>
      <c r="E228" s="1"/>
      <c r="F228" s="8" t="s">
        <v>573</v>
      </c>
      <c r="G228" s="1"/>
      <c r="M228" s="1"/>
      <c r="N228" s="6">
        <v>0.0</v>
      </c>
      <c r="O228" s="6" t="s">
        <v>25</v>
      </c>
      <c r="P228" s="6"/>
      <c r="Q228" s="6">
        <v>1.0</v>
      </c>
      <c r="R228" s="6" t="s">
        <v>26</v>
      </c>
      <c r="S228" s="6" t="s">
        <v>27</v>
      </c>
      <c r="T228" s="6" t="s">
        <v>128</v>
      </c>
    </row>
    <row r="229">
      <c r="B229" s="6" t="s">
        <v>574</v>
      </c>
      <c r="C229" s="7" t="str">
        <f t="shared" si="1"/>
        <v>Edge</v>
      </c>
      <c r="D229" s="7" t="s">
        <v>30</v>
      </c>
      <c r="E229" s="1"/>
      <c r="F229" s="8" t="s">
        <v>575</v>
      </c>
      <c r="G229" s="1"/>
      <c r="M229" s="1"/>
      <c r="N229" s="6">
        <v>0.0</v>
      </c>
      <c r="O229" s="6" t="s">
        <v>25</v>
      </c>
      <c r="P229" s="6"/>
      <c r="Q229" s="6">
        <v>1.0</v>
      </c>
      <c r="R229" s="6" t="s">
        <v>26</v>
      </c>
      <c r="S229" s="6" t="s">
        <v>27</v>
      </c>
      <c r="T229" s="6" t="s">
        <v>101</v>
      </c>
    </row>
    <row r="230">
      <c r="B230" s="6" t="s">
        <v>576</v>
      </c>
      <c r="C230" s="7" t="str">
        <f t="shared" si="1"/>
        <v>Edge</v>
      </c>
      <c r="D230" s="7" t="s">
        <v>30</v>
      </c>
      <c r="E230" s="1"/>
      <c r="F230" s="8" t="s">
        <v>577</v>
      </c>
      <c r="G230" s="1"/>
      <c r="M230" s="1"/>
      <c r="N230" s="6">
        <v>0.0</v>
      </c>
      <c r="O230" s="6" t="s">
        <v>25</v>
      </c>
      <c r="P230" s="6"/>
      <c r="Q230" s="6">
        <v>1.0</v>
      </c>
      <c r="R230" s="6" t="s">
        <v>26</v>
      </c>
      <c r="S230" s="6" t="s">
        <v>27</v>
      </c>
      <c r="T230" s="6" t="s">
        <v>76</v>
      </c>
    </row>
    <row r="231">
      <c r="B231" s="6" t="s">
        <v>578</v>
      </c>
      <c r="C231" s="7" t="str">
        <f t="shared" si="1"/>
        <v>Edge</v>
      </c>
      <c r="D231" s="7" t="s">
        <v>30</v>
      </c>
      <c r="E231" s="1"/>
      <c r="F231" s="8" t="s">
        <v>579</v>
      </c>
      <c r="G231" s="1"/>
      <c r="M231" s="1"/>
      <c r="N231" s="6">
        <v>0.0</v>
      </c>
      <c r="O231" s="6" t="s">
        <v>25</v>
      </c>
      <c r="P231" s="6"/>
      <c r="Q231" s="6">
        <v>1.0</v>
      </c>
      <c r="R231" s="6" t="s">
        <v>26</v>
      </c>
      <c r="S231" s="6" t="s">
        <v>27</v>
      </c>
      <c r="T231" s="6" t="s">
        <v>64</v>
      </c>
    </row>
    <row r="232">
      <c r="B232" s="6" t="s">
        <v>580</v>
      </c>
      <c r="C232" s="7" t="str">
        <f t="shared" si="1"/>
        <v/>
      </c>
      <c r="D232" s="7" t="s">
        <v>20</v>
      </c>
      <c r="E232" s="12"/>
      <c r="F232" s="11" t="s">
        <v>581</v>
      </c>
      <c r="G232" s="11" t="s">
        <v>582</v>
      </c>
      <c r="H232" s="9" t="str">
        <f t="shared" ref="H232:H233" si="62">LEFT(G232, LEN(G232)-1)</f>
        <v>https://www.edmunds.com</v>
      </c>
      <c r="I232" s="9" t="str">
        <f>IFERROR(__xludf.DUMMYFUNCTION("IF(REGEXMATCH(H232,""www""),RIGHT(H232,LEN(H232)-FIND(""."",H232)+0),if(regexmatch(H232,""https://""),right(H232,len(H232)-find(""/"",H232)-1),H232))"),"edmunds.com")</f>
        <v>edmunds.com</v>
      </c>
      <c r="J232" s="9" t="str">
        <f t="shared" ref="J232:J233" si="63">I232</f>
        <v>edmunds.com</v>
      </c>
      <c r="K232" s="9" t="s">
        <v>23</v>
      </c>
      <c r="L232" s="6" t="s">
        <v>24</v>
      </c>
      <c r="M232" s="8" t="str">
        <f t="shared" ref="M232:M233" si="64">K232&amp;J232&amp;L232</f>
        <v>https://newsapi.org/v2/everything?domains=edmunds.com&amp;apiKey=ae2ad3e68d4e4daca149bbfb9b61c010</v>
      </c>
      <c r="N232" s="6">
        <v>1.0</v>
      </c>
      <c r="O232" s="6" t="s">
        <v>25</v>
      </c>
      <c r="P232" s="6"/>
      <c r="Q232" s="6">
        <v>1.0</v>
      </c>
      <c r="R232" s="6" t="s">
        <v>26</v>
      </c>
      <c r="S232" s="6" t="s">
        <v>27</v>
      </c>
      <c r="T232" s="6" t="s">
        <v>374</v>
      </c>
    </row>
    <row r="233">
      <c r="B233" s="6" t="s">
        <v>583</v>
      </c>
      <c r="C233" s="7" t="str">
        <f t="shared" si="1"/>
        <v/>
      </c>
      <c r="D233" s="7" t="s">
        <v>20</v>
      </c>
      <c r="E233" s="7"/>
      <c r="F233" s="8" t="s">
        <v>584</v>
      </c>
      <c r="G233" s="8" t="s">
        <v>585</v>
      </c>
      <c r="H233" s="9" t="str">
        <f t="shared" si="62"/>
        <v>https://eiko-fried.com</v>
      </c>
      <c r="I233" s="9" t="str">
        <f>IFERROR(__xludf.DUMMYFUNCTION("IF(REGEXMATCH(H233,""www""),RIGHT(H233,LEN(H233)-FIND(""."",H233)+0),if(regexmatch(H233,""https://""),right(H233,len(H233)-find(""/"",H233)-1),H233))"),"eiko-fried.com")</f>
        <v>eiko-fried.com</v>
      </c>
      <c r="J233" s="9" t="str">
        <f t="shared" si="63"/>
        <v>eiko-fried.com</v>
      </c>
      <c r="K233" s="9" t="s">
        <v>23</v>
      </c>
      <c r="L233" s="6" t="s">
        <v>176</v>
      </c>
      <c r="M233" s="8" t="str">
        <f t="shared" si="64"/>
        <v>https://newsapi.org/v2/everything?domains=eiko-fried.com&amp;apiKey=7d4cb29b783f48c8a1837901e959f134</v>
      </c>
      <c r="N233" s="6">
        <v>0.0</v>
      </c>
      <c r="O233" s="6" t="s">
        <v>39</v>
      </c>
      <c r="P233" s="6"/>
      <c r="Q233" s="6">
        <v>1.0</v>
      </c>
      <c r="R233" s="6" t="s">
        <v>26</v>
      </c>
      <c r="S233" s="6" t="s">
        <v>27</v>
      </c>
      <c r="T233" s="6" t="s">
        <v>128</v>
      </c>
    </row>
    <row r="234">
      <c r="B234" s="6" t="s">
        <v>586</v>
      </c>
      <c r="C234" s="7" t="str">
        <f t="shared" si="1"/>
        <v/>
      </c>
      <c r="D234" s="7" t="s">
        <v>20</v>
      </c>
      <c r="E234" s="1"/>
      <c r="F234" s="8" t="s">
        <v>587</v>
      </c>
      <c r="G234" s="1"/>
      <c r="M234" s="1"/>
      <c r="N234" s="6">
        <v>0.0</v>
      </c>
      <c r="O234" s="6" t="s">
        <v>25</v>
      </c>
      <c r="P234" s="6"/>
      <c r="Q234" s="6">
        <v>1.0</v>
      </c>
      <c r="R234" s="6" t="s">
        <v>26</v>
      </c>
      <c r="S234" s="6" t="s">
        <v>27</v>
      </c>
      <c r="T234" s="6" t="s">
        <v>76</v>
      </c>
    </row>
    <row r="235">
      <c r="B235" s="6" t="s">
        <v>588</v>
      </c>
      <c r="C235" s="7" t="str">
        <f t="shared" si="1"/>
        <v/>
      </c>
      <c r="D235" s="7" t="s">
        <v>20</v>
      </c>
      <c r="E235" s="1"/>
      <c r="F235" s="8" t="s">
        <v>589</v>
      </c>
      <c r="G235" s="1"/>
      <c r="M235" s="1"/>
      <c r="N235" s="6">
        <v>0.0</v>
      </c>
      <c r="O235" s="6" t="s">
        <v>43</v>
      </c>
      <c r="P235" s="6"/>
      <c r="Q235" s="6">
        <v>1.0</v>
      </c>
      <c r="R235" s="6" t="s">
        <v>26</v>
      </c>
      <c r="S235" s="6" t="s">
        <v>27</v>
      </c>
      <c r="T235" s="6" t="s">
        <v>70</v>
      </c>
    </row>
    <row r="236">
      <c r="B236" s="6" t="s">
        <v>590</v>
      </c>
      <c r="C236" s="7" t="str">
        <f t="shared" si="1"/>
        <v/>
      </c>
      <c r="D236" s="7" t="s">
        <v>20</v>
      </c>
      <c r="E236" s="1"/>
      <c r="F236" s="8" t="s">
        <v>591</v>
      </c>
      <c r="G236" s="1"/>
      <c r="M236" s="1"/>
      <c r="N236" s="6">
        <v>0.0</v>
      </c>
      <c r="O236" s="6" t="s">
        <v>43</v>
      </c>
      <c r="P236" s="6"/>
      <c r="Q236" s="6">
        <v>1.0</v>
      </c>
      <c r="R236" s="6" t="s">
        <v>26</v>
      </c>
      <c r="S236" s="6" t="s">
        <v>27</v>
      </c>
      <c r="T236" s="6" t="s">
        <v>107</v>
      </c>
    </row>
    <row r="237">
      <c r="B237" s="6" t="s">
        <v>592</v>
      </c>
      <c r="C237" s="7" t="str">
        <f t="shared" si="1"/>
        <v/>
      </c>
      <c r="D237" s="7" t="s">
        <v>50</v>
      </c>
      <c r="E237" s="7">
        <v>100.0</v>
      </c>
      <c r="F237" s="7"/>
      <c r="G237" s="8" t="s">
        <v>593</v>
      </c>
      <c r="H237" s="9" t="str">
        <f t="shared" ref="H237:H238" si="65">LEFT(G237, LEN(G237)-1)</f>
        <v>https://www.engadget.com</v>
      </c>
      <c r="I237" s="9" t="str">
        <f>IFERROR(__xludf.DUMMYFUNCTION("IF(REGEXMATCH(H237,""www""),RIGHT(H237,LEN(H237)-FIND(""."",H237)+0),if(regexmatch(H237,""https://""),right(H237,len(H237)-find(""/"",H237)-1),H237))"),"engadget.com")</f>
        <v>engadget.com</v>
      </c>
      <c r="J237" s="9" t="str">
        <f>I237</f>
        <v>engadget.com</v>
      </c>
      <c r="K237" s="9" t="s">
        <v>23</v>
      </c>
      <c r="L237" s="6" t="s">
        <v>24</v>
      </c>
      <c r="M237" s="8" t="str">
        <f t="shared" ref="M237:M238" si="66">K237&amp;J237&amp;L237</f>
        <v>https://newsapi.org/v2/everything?domains=engadget.com&amp;apiKey=ae2ad3e68d4e4daca149bbfb9b61c010</v>
      </c>
      <c r="N237" s="6">
        <v>1.0</v>
      </c>
      <c r="O237" s="6" t="s">
        <v>25</v>
      </c>
      <c r="P237" s="6"/>
      <c r="Q237" s="6">
        <v>1.0</v>
      </c>
      <c r="R237" s="6" t="s">
        <v>26</v>
      </c>
      <c r="S237" s="6" t="s">
        <v>27</v>
      </c>
      <c r="T237" s="6" t="s">
        <v>76</v>
      </c>
    </row>
    <row r="238">
      <c r="B238" s="6" t="s">
        <v>594</v>
      </c>
      <c r="C238" s="7" t="str">
        <f t="shared" si="1"/>
        <v/>
      </c>
      <c r="D238" s="16" t="s">
        <v>20</v>
      </c>
      <c r="E238" s="12"/>
      <c r="F238" s="11" t="s">
        <v>595</v>
      </c>
      <c r="G238" s="7"/>
      <c r="H238" s="10" t="str">
        <f t="shared" si="65"/>
        <v>#VALUE!</v>
      </c>
      <c r="I238" s="10" t="str">
        <f>IFERROR(__xludf.DUMMYFUNCTION("IF(REGEXMATCH(H238,""www""),RIGHT(H238,LEN(H238)-FIND(""."",H238)+0),if(regexmatch(H238,""https://""),right(H238,len(H238)-find(""/"",H238)-1),H238))"),"#VALUE!")</f>
        <v>#VALUE!</v>
      </c>
      <c r="J238" s="10"/>
      <c r="K238" s="9" t="s">
        <v>23</v>
      </c>
      <c r="L238" s="6" t="s">
        <v>24</v>
      </c>
      <c r="M238" s="8" t="str">
        <f t="shared" si="66"/>
        <v>https://newsapi.org/v2/everything?domains=&amp;apiKey=ae2ad3e68d4e4daca149bbfb9b61c010</v>
      </c>
      <c r="N238" s="6">
        <v>0.0</v>
      </c>
      <c r="O238" s="6" t="s">
        <v>43</v>
      </c>
      <c r="P238" s="6"/>
      <c r="Q238" s="6">
        <v>1.0</v>
      </c>
      <c r="R238" s="6" t="s">
        <v>26</v>
      </c>
      <c r="S238" s="6" t="s">
        <v>27</v>
      </c>
      <c r="T238" s="6" t="s">
        <v>70</v>
      </c>
    </row>
    <row r="239">
      <c r="B239" s="6" t="s">
        <v>596</v>
      </c>
      <c r="C239" s="7" t="str">
        <f t="shared" si="1"/>
        <v/>
      </c>
      <c r="D239" s="16" t="s">
        <v>20</v>
      </c>
      <c r="E239" s="12"/>
      <c r="F239" s="11" t="s">
        <v>597</v>
      </c>
      <c r="G239" s="7"/>
      <c r="M239" s="1"/>
      <c r="N239" s="15">
        <v>1.0</v>
      </c>
      <c r="O239" s="6" t="s">
        <v>43</v>
      </c>
      <c r="P239" s="14"/>
      <c r="Q239" s="15">
        <v>1.0</v>
      </c>
      <c r="R239" s="6" t="s">
        <v>26</v>
      </c>
      <c r="S239" s="14" t="s">
        <v>27</v>
      </c>
      <c r="T239" s="16" t="s">
        <v>28</v>
      </c>
    </row>
    <row r="240">
      <c r="B240" s="6" t="s">
        <v>598</v>
      </c>
      <c r="C240" s="7" t="str">
        <f t="shared" si="1"/>
        <v/>
      </c>
      <c r="D240" s="7" t="s">
        <v>20</v>
      </c>
      <c r="E240" s="1"/>
      <c r="F240" s="8" t="s">
        <v>599</v>
      </c>
      <c r="G240" s="1"/>
      <c r="M240" s="1"/>
      <c r="N240" s="6">
        <v>1.0</v>
      </c>
      <c r="O240" s="6" t="s">
        <v>25</v>
      </c>
      <c r="P240" s="6"/>
      <c r="Q240" s="6">
        <v>1.0</v>
      </c>
      <c r="R240" s="6" t="s">
        <v>26</v>
      </c>
      <c r="S240" s="6" t="s">
        <v>27</v>
      </c>
      <c r="T240" s="6" t="s">
        <v>56</v>
      </c>
    </row>
    <row r="241">
      <c r="B241" s="6" t="s">
        <v>600</v>
      </c>
      <c r="C241" s="7" t="str">
        <f t="shared" si="1"/>
        <v/>
      </c>
      <c r="D241" s="7" t="s">
        <v>50</v>
      </c>
      <c r="E241" s="7">
        <v>9.0</v>
      </c>
      <c r="F241" s="7"/>
      <c r="G241" s="8" t="s">
        <v>601</v>
      </c>
      <c r="H241" s="9" t="str">
        <f t="shared" ref="H241:H242" si="67">LEFT(G241, LEN(G241)-1)</f>
        <v>https://www.eurekalert.org</v>
      </c>
      <c r="I241" s="9" t="str">
        <f>IFERROR(__xludf.DUMMYFUNCTION("IF(REGEXMATCH(H241,""www""),RIGHT(H241,LEN(H241)-FIND(""."",H241)+0),if(regexmatch(H241,""https://""),right(H241,len(H241)-find(""/"",H241)-1),H241))"),"eurekalert.org")</f>
        <v>eurekalert.org</v>
      </c>
      <c r="J241" s="9" t="str">
        <f t="shared" ref="J241:J242" si="68">I241</f>
        <v>eurekalert.org</v>
      </c>
      <c r="K241" s="9" t="s">
        <v>23</v>
      </c>
      <c r="L241" s="6" t="s">
        <v>176</v>
      </c>
      <c r="M241" s="8" t="str">
        <f t="shared" ref="M241:M242" si="69">K241&amp;J241&amp;L241</f>
        <v>https://newsapi.org/v2/everything?domains=eurekalert.org&amp;apiKey=7d4cb29b783f48c8a1837901e959f134</v>
      </c>
      <c r="N241" s="6">
        <v>1.0</v>
      </c>
      <c r="O241" s="6" t="s">
        <v>25</v>
      </c>
      <c r="P241" s="6"/>
      <c r="Q241" s="6">
        <v>1.0</v>
      </c>
      <c r="R241" s="6" t="s">
        <v>26</v>
      </c>
      <c r="S241" s="6" t="s">
        <v>27</v>
      </c>
      <c r="T241" s="6" t="s">
        <v>131</v>
      </c>
    </row>
    <row r="242">
      <c r="B242" s="6" t="s">
        <v>602</v>
      </c>
      <c r="C242" s="7" t="str">
        <f t="shared" si="1"/>
        <v/>
      </c>
      <c r="D242" s="7" t="s">
        <v>20</v>
      </c>
      <c r="E242" s="7"/>
      <c r="F242" s="8" t="s">
        <v>603</v>
      </c>
      <c r="G242" s="8" t="s">
        <v>604</v>
      </c>
      <c r="H242" s="9" t="str">
        <f t="shared" si="67"/>
        <v>https://everydayastronaut.com</v>
      </c>
      <c r="I242" s="9" t="str">
        <f>IFERROR(__xludf.DUMMYFUNCTION("IF(REGEXMATCH(H242,""www""),RIGHT(H242,LEN(H242)-FIND(""."",H242)+0),if(regexmatch(H242,""https://""),right(H242,len(H242)-find(""/"",H242)-1),H242))"),"everydayastronaut.com")</f>
        <v>everydayastronaut.com</v>
      </c>
      <c r="J242" s="9" t="str">
        <f t="shared" si="68"/>
        <v>everydayastronaut.com</v>
      </c>
      <c r="K242" s="9" t="s">
        <v>23</v>
      </c>
      <c r="L242" s="6" t="s">
        <v>176</v>
      </c>
      <c r="M242" s="8" t="str">
        <f t="shared" si="69"/>
        <v>https://newsapi.org/v2/everything?domains=everydayastronaut.com&amp;apiKey=7d4cb29b783f48c8a1837901e959f134</v>
      </c>
      <c r="N242" s="6">
        <v>1.0</v>
      </c>
      <c r="O242" s="6" t="s">
        <v>25</v>
      </c>
      <c r="P242" s="6"/>
      <c r="Q242" s="6">
        <v>1.0</v>
      </c>
      <c r="R242" s="6" t="s">
        <v>26</v>
      </c>
      <c r="S242" s="6" t="s">
        <v>27</v>
      </c>
      <c r="T242" s="6" t="s">
        <v>64</v>
      </c>
    </row>
    <row r="243">
      <c r="B243" s="6" t="s">
        <v>605</v>
      </c>
      <c r="C243" s="7" t="str">
        <f t="shared" si="1"/>
        <v/>
      </c>
      <c r="D243" s="7" t="s">
        <v>20</v>
      </c>
      <c r="E243" s="1"/>
      <c r="F243" s="8" t="s">
        <v>606</v>
      </c>
      <c r="G243" s="1"/>
      <c r="M243" s="1"/>
      <c r="N243" s="6">
        <v>0.0</v>
      </c>
      <c r="O243" s="6" t="s">
        <v>25</v>
      </c>
      <c r="P243" s="6"/>
      <c r="Q243" s="6">
        <v>1.0</v>
      </c>
      <c r="R243" s="6" t="s">
        <v>26</v>
      </c>
      <c r="S243" s="6" t="s">
        <v>27</v>
      </c>
      <c r="T243" s="6" t="s">
        <v>607</v>
      </c>
    </row>
    <row r="244">
      <c r="B244" s="6" t="s">
        <v>608</v>
      </c>
      <c r="C244" s="7" t="str">
        <f t="shared" si="1"/>
        <v>Exp mag</v>
      </c>
      <c r="D244" s="7" t="s">
        <v>30</v>
      </c>
      <c r="E244" s="7"/>
      <c r="F244" s="8" t="s">
        <v>609</v>
      </c>
      <c r="G244" s="7"/>
      <c r="M244" s="1"/>
      <c r="N244" s="6">
        <v>1.0</v>
      </c>
      <c r="O244" s="6" t="s">
        <v>25</v>
      </c>
      <c r="P244" s="6"/>
      <c r="Q244" s="6">
        <v>1.0</v>
      </c>
      <c r="R244" s="6" t="s">
        <v>26</v>
      </c>
      <c r="S244" s="6" t="s">
        <v>27</v>
      </c>
      <c r="T244" s="6" t="s">
        <v>85</v>
      </c>
    </row>
    <row r="245">
      <c r="B245" s="6" t="s">
        <v>610</v>
      </c>
      <c r="C245" s="7" t="str">
        <f t="shared" si="1"/>
        <v>Exp mag</v>
      </c>
      <c r="D245" s="7" t="s">
        <v>30</v>
      </c>
      <c r="E245" s="7"/>
      <c r="F245" s="8" t="s">
        <v>611</v>
      </c>
      <c r="G245" s="7"/>
      <c r="M245" s="1"/>
      <c r="N245" s="6">
        <v>1.0</v>
      </c>
      <c r="O245" s="6" t="s">
        <v>25</v>
      </c>
      <c r="P245" s="6"/>
      <c r="Q245" s="6">
        <v>1.0</v>
      </c>
      <c r="R245" s="6" t="s">
        <v>26</v>
      </c>
      <c r="S245" s="6" t="s">
        <v>27</v>
      </c>
      <c r="T245" s="6" t="s">
        <v>76</v>
      </c>
    </row>
    <row r="246">
      <c r="B246" s="6" t="s">
        <v>612</v>
      </c>
      <c r="C246" s="7" t="str">
        <f t="shared" si="1"/>
        <v/>
      </c>
      <c r="D246" s="7" t="s">
        <v>20</v>
      </c>
      <c r="E246" s="1"/>
      <c r="F246" s="11" t="s">
        <v>613</v>
      </c>
      <c r="G246" s="1"/>
      <c r="M246" s="1"/>
      <c r="N246" s="6">
        <v>0.0</v>
      </c>
      <c r="O246" s="6" t="s">
        <v>43</v>
      </c>
      <c r="P246" s="6"/>
      <c r="Q246" s="6">
        <v>1.0</v>
      </c>
      <c r="R246" s="6" t="s">
        <v>26</v>
      </c>
      <c r="S246" s="6" t="s">
        <v>27</v>
      </c>
      <c r="T246" s="6" t="s">
        <v>28</v>
      </c>
    </row>
    <row r="247">
      <c r="B247" s="6" t="s">
        <v>614</v>
      </c>
      <c r="C247" s="7" t="str">
        <f t="shared" si="1"/>
        <v/>
      </c>
      <c r="D247" s="7" t="s">
        <v>20</v>
      </c>
      <c r="E247" s="1"/>
      <c r="F247" s="8" t="s">
        <v>615</v>
      </c>
      <c r="G247" s="1"/>
      <c r="M247" s="1"/>
      <c r="N247" s="6">
        <v>0.0</v>
      </c>
      <c r="O247" s="6" t="s">
        <v>25</v>
      </c>
      <c r="P247" s="6"/>
      <c r="Q247" s="6">
        <v>1.0</v>
      </c>
      <c r="R247" s="6" t="s">
        <v>26</v>
      </c>
      <c r="S247" s="6" t="s">
        <v>27</v>
      </c>
      <c r="T247" s="6" t="s">
        <v>76</v>
      </c>
    </row>
    <row r="248">
      <c r="B248" s="6" t="s">
        <v>616</v>
      </c>
      <c r="C248" s="7" t="str">
        <f t="shared" si="1"/>
        <v/>
      </c>
      <c r="D248" s="7" t="s">
        <v>50</v>
      </c>
      <c r="E248" s="7">
        <v>3.0</v>
      </c>
      <c r="F248" s="7"/>
      <c r="G248" s="8" t="s">
        <v>617</v>
      </c>
      <c r="H248" s="9" t="str">
        <f t="shared" ref="H248:H253" si="70">LEFT(G248, LEN(G248)-1)</f>
        <v>https://fs.blog</v>
      </c>
      <c r="I248" s="10" t="str">
        <f>IFERROR(__xludf.DUMMYFUNCTION("IF(REGEXMATCH(H248,""www""),RIGHT(H248,LEN(H248)-FIND(""."",H248)+0),if(regexmatch(H248,""https://""),right(H248,len(H248)-find(""/"",H248)-1),H248))"),"fs.blog")</f>
        <v>fs.blog</v>
      </c>
      <c r="J248" s="10" t="str">
        <f t="shared" ref="J248:J253" si="71">I248</f>
        <v>fs.blog</v>
      </c>
      <c r="K248" s="9" t="s">
        <v>23</v>
      </c>
      <c r="L248" s="6" t="s">
        <v>176</v>
      </c>
      <c r="M248" s="8" t="str">
        <f t="shared" ref="M248:M253" si="72">K248&amp;J248&amp;L248</f>
        <v>https://newsapi.org/v2/everything?domains=fs.blog&amp;apiKey=7d4cb29b783f48c8a1837901e959f134</v>
      </c>
      <c r="N248" s="6">
        <v>0.0</v>
      </c>
      <c r="O248" s="6" t="s">
        <v>25</v>
      </c>
      <c r="P248" s="6"/>
      <c r="Q248" s="6">
        <v>1.0</v>
      </c>
      <c r="R248" s="6" t="s">
        <v>26</v>
      </c>
      <c r="S248" s="6" t="s">
        <v>27</v>
      </c>
      <c r="T248" s="6" t="s">
        <v>70</v>
      </c>
    </row>
    <row r="249">
      <c r="B249" s="6" t="s">
        <v>618</v>
      </c>
      <c r="C249" s="7" t="str">
        <f t="shared" si="1"/>
        <v/>
      </c>
      <c r="D249" s="7" t="s">
        <v>50</v>
      </c>
      <c r="E249" s="7">
        <v>100.0</v>
      </c>
      <c r="F249" s="7"/>
      <c r="G249" s="8" t="s">
        <v>619</v>
      </c>
      <c r="H249" s="9" t="str">
        <f t="shared" si="70"/>
        <v>https://www.fda.gov</v>
      </c>
      <c r="I249" s="9" t="str">
        <f>IFERROR(__xludf.DUMMYFUNCTION("IF(REGEXMATCH(H249,""www""),RIGHT(H249,LEN(H249)-FIND(""."",H249)+0),if(regexmatch(H249,""https://""),right(H249,len(H249)-find(""/"",H249)-1),H249))"),"fda.gov")</f>
        <v>fda.gov</v>
      </c>
      <c r="J249" s="9" t="str">
        <f t="shared" si="71"/>
        <v>fda.gov</v>
      </c>
      <c r="K249" s="9" t="s">
        <v>23</v>
      </c>
      <c r="L249" s="6" t="s">
        <v>24</v>
      </c>
      <c r="M249" s="8" t="str">
        <f t="shared" si="72"/>
        <v>https://newsapi.org/v2/everything?domains=fda.gov&amp;apiKey=ae2ad3e68d4e4daca149bbfb9b61c010</v>
      </c>
      <c r="N249" s="6">
        <v>0.0</v>
      </c>
      <c r="O249" s="6" t="s">
        <v>25</v>
      </c>
      <c r="P249" s="6"/>
      <c r="Q249" s="6">
        <v>1.0</v>
      </c>
      <c r="R249" s="6" t="s">
        <v>26</v>
      </c>
      <c r="S249" s="6" t="s">
        <v>27</v>
      </c>
      <c r="T249" s="6" t="s">
        <v>101</v>
      </c>
    </row>
    <row r="250">
      <c r="B250" s="6" t="s">
        <v>620</v>
      </c>
      <c r="C250" s="7" t="str">
        <f t="shared" si="1"/>
        <v/>
      </c>
      <c r="D250" s="7" t="s">
        <v>50</v>
      </c>
      <c r="E250" s="7">
        <v>42.0</v>
      </c>
      <c r="F250" s="7"/>
      <c r="G250" s="8" t="s">
        <v>621</v>
      </c>
      <c r="H250" s="9" t="str">
        <f t="shared" si="70"/>
        <v>https://www.federalreserve.gov</v>
      </c>
      <c r="I250" s="9" t="str">
        <f>IFERROR(__xludf.DUMMYFUNCTION("IF(REGEXMATCH(H250,""www""),RIGHT(H250,LEN(H250)-FIND(""."",H250)+0),if(regexmatch(H250,""https://""),right(H250,len(H250)-find(""/"",H250)-1),H250))"),"federalreserve.gov")</f>
        <v>federalreserve.gov</v>
      </c>
      <c r="J250" s="9" t="str">
        <f t="shared" si="71"/>
        <v>federalreserve.gov</v>
      </c>
      <c r="K250" s="9" t="s">
        <v>23</v>
      </c>
      <c r="L250" s="6" t="s">
        <v>176</v>
      </c>
      <c r="M250" s="8" t="str">
        <f t="shared" si="72"/>
        <v>https://newsapi.org/v2/everything?domains=federalreserve.gov&amp;apiKey=7d4cb29b783f48c8a1837901e959f134</v>
      </c>
      <c r="N250" s="6">
        <v>1.0</v>
      </c>
      <c r="O250" s="6" t="s">
        <v>25</v>
      </c>
      <c r="P250" s="6"/>
      <c r="Q250" s="6">
        <v>1.0</v>
      </c>
      <c r="R250" s="6" t="s">
        <v>26</v>
      </c>
      <c r="S250" s="6" t="s">
        <v>27</v>
      </c>
      <c r="T250" s="6" t="s">
        <v>248</v>
      </c>
    </row>
    <row r="251">
      <c r="B251" s="6" t="s">
        <v>622</v>
      </c>
      <c r="C251" s="7" t="str">
        <f t="shared" si="1"/>
        <v/>
      </c>
      <c r="D251" s="7" t="s">
        <v>20</v>
      </c>
      <c r="E251" s="7"/>
      <c r="F251" s="8" t="s">
        <v>623</v>
      </c>
      <c r="G251" s="8" t="s">
        <v>624</v>
      </c>
      <c r="H251" s="9" t="str">
        <f t="shared" si="70"/>
        <v>https://thefilmstage.com</v>
      </c>
      <c r="I251" s="9" t="str">
        <f>IFERROR(__xludf.DUMMYFUNCTION("IF(REGEXMATCH(H251,""www""),RIGHT(H251,LEN(H251)-FIND(""."",H251)+0),if(regexmatch(H251,""https://""),right(H251,len(H251)-find(""/"",H251)-1),H251))"),"thefilmstage.com")</f>
        <v>thefilmstage.com</v>
      </c>
      <c r="J251" s="9" t="str">
        <f t="shared" si="71"/>
        <v>thefilmstage.com</v>
      </c>
      <c r="K251" s="9" t="s">
        <v>23</v>
      </c>
      <c r="L251" s="6" t="s">
        <v>176</v>
      </c>
      <c r="M251" s="8" t="str">
        <f t="shared" si="72"/>
        <v>https://newsapi.org/v2/everything?domains=thefilmstage.com&amp;apiKey=7d4cb29b783f48c8a1837901e959f134</v>
      </c>
      <c r="N251" s="6">
        <v>1.0</v>
      </c>
      <c r="O251" s="6" t="s">
        <v>25</v>
      </c>
      <c r="P251" s="6"/>
      <c r="Q251" s="6">
        <v>1.0</v>
      </c>
      <c r="R251" s="6" t="s">
        <v>26</v>
      </c>
      <c r="S251" s="6" t="s">
        <v>27</v>
      </c>
      <c r="T251" s="6" t="s">
        <v>90</v>
      </c>
    </row>
    <row r="252">
      <c r="B252" s="6" t="s">
        <v>625</v>
      </c>
      <c r="C252" s="7" t="str">
        <f t="shared" si="1"/>
        <v/>
      </c>
      <c r="D252" s="7" t="s">
        <v>30</v>
      </c>
      <c r="E252" s="7"/>
      <c r="F252" s="8" t="s">
        <v>626</v>
      </c>
      <c r="G252" s="8" t="s">
        <v>627</v>
      </c>
      <c r="H252" s="9" t="str">
        <f t="shared" si="70"/>
        <v>https://fivebooks.com</v>
      </c>
      <c r="I252" s="9" t="str">
        <f>IFERROR(__xludf.DUMMYFUNCTION("IF(REGEXMATCH(H252,""www""),RIGHT(H252,LEN(H252)-FIND(""."",H252)+0),if(regexmatch(H252,""https://""),right(H252,len(H252)-find(""/"",H252)-1),H252))"),"fivebooks.com")</f>
        <v>fivebooks.com</v>
      </c>
      <c r="J252" s="9" t="str">
        <f t="shared" si="71"/>
        <v>fivebooks.com</v>
      </c>
      <c r="K252" s="9" t="s">
        <v>23</v>
      </c>
      <c r="L252" s="6" t="s">
        <v>176</v>
      </c>
      <c r="M252" s="8" t="str">
        <f t="shared" si="72"/>
        <v>https://newsapi.org/v2/everything?domains=fivebooks.com&amp;apiKey=7d4cb29b783f48c8a1837901e959f134</v>
      </c>
      <c r="N252" s="6">
        <v>0.0</v>
      </c>
      <c r="O252" s="6" t="s">
        <v>25</v>
      </c>
      <c r="P252" s="6"/>
      <c r="Q252" s="6">
        <v>1.0</v>
      </c>
      <c r="R252" s="6" t="s">
        <v>26</v>
      </c>
      <c r="S252" s="6" t="s">
        <v>27</v>
      </c>
      <c r="T252" s="6" t="s">
        <v>107</v>
      </c>
    </row>
    <row r="253">
      <c r="B253" s="6" t="s">
        <v>628</v>
      </c>
      <c r="C253" s="7" t="str">
        <f t="shared" si="1"/>
        <v/>
      </c>
      <c r="D253" s="7" t="s">
        <v>50</v>
      </c>
      <c r="E253" s="7">
        <v>90.0</v>
      </c>
      <c r="F253" s="1"/>
      <c r="G253" s="8" t="s">
        <v>629</v>
      </c>
      <c r="H253" s="9" t="str">
        <f t="shared" si="70"/>
        <v>https://fivethirtyeight.com</v>
      </c>
      <c r="I253" s="9" t="str">
        <f>IFERROR(__xludf.DUMMYFUNCTION("IF(REGEXMATCH(H253,""www""),RIGHT(H253,LEN(H253)-FIND(""."",H253)+0),if(regexmatch(H253,""https://""),right(H253,len(H253)-find(""/"",H253)-1),H253))"),"fivethirtyeight.com")</f>
        <v>fivethirtyeight.com</v>
      </c>
      <c r="J253" s="9" t="str">
        <f t="shared" si="71"/>
        <v>fivethirtyeight.com</v>
      </c>
      <c r="K253" s="9" t="s">
        <v>23</v>
      </c>
      <c r="L253" s="6" t="s">
        <v>24</v>
      </c>
      <c r="M253" s="8" t="str">
        <f t="shared" si="72"/>
        <v>https://newsapi.org/v2/everything?domains=fivethirtyeight.com&amp;apiKey=ae2ad3e68d4e4daca149bbfb9b61c010</v>
      </c>
      <c r="N253" s="6">
        <v>1.0</v>
      </c>
      <c r="O253" s="6" t="s">
        <v>25</v>
      </c>
      <c r="Q253" s="6">
        <v>1.0</v>
      </c>
      <c r="R253" s="6" t="s">
        <v>26</v>
      </c>
      <c r="S253" s="6" t="s">
        <v>27</v>
      </c>
      <c r="T253" s="6" t="s">
        <v>300</v>
      </c>
    </row>
    <row r="254">
      <c r="B254" s="6" t="s">
        <v>630</v>
      </c>
      <c r="C254" s="7" t="str">
        <f t="shared" si="1"/>
        <v/>
      </c>
      <c r="D254" s="7" t="s">
        <v>20</v>
      </c>
      <c r="E254" s="1"/>
      <c r="F254" s="8" t="s">
        <v>631</v>
      </c>
      <c r="G254" s="1"/>
      <c r="M254" s="1"/>
      <c r="N254" s="6">
        <v>0.0</v>
      </c>
      <c r="O254" s="6" t="s">
        <v>43</v>
      </c>
      <c r="P254" s="6"/>
      <c r="Q254" s="6">
        <v>1.0</v>
      </c>
      <c r="R254" s="6" t="s">
        <v>26</v>
      </c>
      <c r="S254" s="6" t="s">
        <v>27</v>
      </c>
      <c r="T254" s="6" t="s">
        <v>333</v>
      </c>
    </row>
    <row r="255">
      <c r="B255" s="6" t="s">
        <v>632</v>
      </c>
      <c r="C255" s="7" t="str">
        <f t="shared" si="1"/>
        <v/>
      </c>
      <c r="D255" s="7" t="s">
        <v>20</v>
      </c>
      <c r="E255" s="7"/>
      <c r="F255" s="8" t="s">
        <v>633</v>
      </c>
      <c r="G255" s="8" t="s">
        <v>634</v>
      </c>
      <c r="H255" s="9" t="str">
        <f t="shared" ref="H255:H258" si="73">LEFT(G255, LEN(G255)-1)</f>
        <v>https://flowingdata.com</v>
      </c>
      <c r="I255" s="9" t="str">
        <f>IFERROR(__xludf.DUMMYFUNCTION("IF(REGEXMATCH(H255,""www""),RIGHT(H255,LEN(H255)-FIND(""."",H255)+0),if(regexmatch(H255,""https://""),right(H255,len(H255)-find(""/"",H255)-1),H255))"),"flowingdata.com")</f>
        <v>flowingdata.com</v>
      </c>
      <c r="J255" s="9" t="str">
        <f t="shared" ref="J255:J258" si="74">I255</f>
        <v>flowingdata.com</v>
      </c>
      <c r="K255" s="9" t="s">
        <v>23</v>
      </c>
      <c r="L255" s="6" t="s">
        <v>176</v>
      </c>
      <c r="M255" s="8" t="str">
        <f t="shared" ref="M255:M258" si="75">K255&amp;J255&amp;L255</f>
        <v>https://newsapi.org/v2/everything?domains=flowingdata.com&amp;apiKey=7d4cb29b783f48c8a1837901e959f134</v>
      </c>
      <c r="N255" s="6">
        <v>0.0</v>
      </c>
      <c r="O255" s="6" t="s">
        <v>39</v>
      </c>
      <c r="P255" s="6"/>
      <c r="Q255" s="6">
        <v>1.0</v>
      </c>
      <c r="R255" s="6" t="s">
        <v>26</v>
      </c>
      <c r="S255" s="6" t="s">
        <v>27</v>
      </c>
      <c r="T255" s="6" t="s">
        <v>300</v>
      </c>
    </row>
    <row r="256">
      <c r="B256" s="6" t="s">
        <v>635</v>
      </c>
      <c r="C256" s="7" t="str">
        <f t="shared" si="1"/>
        <v>Fonts In Use</v>
      </c>
      <c r="D256" s="7" t="s">
        <v>20</v>
      </c>
      <c r="E256" s="7"/>
      <c r="F256" s="8" t="s">
        <v>636</v>
      </c>
      <c r="G256" s="8" t="s">
        <v>637</v>
      </c>
      <c r="H256" s="9" t="str">
        <f t="shared" si="73"/>
        <v>https://fontsinuse.com</v>
      </c>
      <c r="I256" s="9" t="str">
        <f>IFERROR(__xludf.DUMMYFUNCTION("IF(REGEXMATCH(H256,""www""),RIGHT(H256,LEN(H256)-FIND(""."",H256)+0),if(regexmatch(H256,""https://""),right(H256,len(H256)-find(""/"",H256)-1),H256))"),"fontsinuse.com")</f>
        <v>fontsinuse.com</v>
      </c>
      <c r="J256" s="9" t="str">
        <f t="shared" si="74"/>
        <v>fontsinuse.com</v>
      </c>
      <c r="K256" s="9" t="s">
        <v>23</v>
      </c>
      <c r="L256" s="6" t="s">
        <v>176</v>
      </c>
      <c r="M256" s="8" t="str">
        <f t="shared" si="75"/>
        <v>https://newsapi.org/v2/everything?domains=fontsinuse.com&amp;apiKey=7d4cb29b783f48c8a1837901e959f134</v>
      </c>
      <c r="N256" s="6">
        <v>0.0</v>
      </c>
      <c r="O256" s="6" t="s">
        <v>25</v>
      </c>
      <c r="P256" s="6"/>
      <c r="Q256" s="6">
        <v>1.0</v>
      </c>
      <c r="R256" s="6" t="s">
        <v>26</v>
      </c>
      <c r="S256" s="6" t="s">
        <v>27</v>
      </c>
      <c r="T256" s="6" t="s">
        <v>52</v>
      </c>
    </row>
    <row r="257">
      <c r="B257" s="6" t="s">
        <v>638</v>
      </c>
      <c r="C257" s="7" t="str">
        <f t="shared" si="1"/>
        <v>Fonts In Use</v>
      </c>
      <c r="D257" s="7" t="s">
        <v>20</v>
      </c>
      <c r="E257" s="7"/>
      <c r="F257" s="8" t="s">
        <v>639</v>
      </c>
      <c r="G257" s="8" t="s">
        <v>637</v>
      </c>
      <c r="H257" s="9" t="str">
        <f t="shared" si="73"/>
        <v>https://fontsinuse.com</v>
      </c>
      <c r="I257" s="9" t="str">
        <f>IFERROR(__xludf.DUMMYFUNCTION("IF(REGEXMATCH(H257,""www""),RIGHT(H257,LEN(H257)-FIND(""."",H257)+0),if(regexmatch(H257,""https://""),right(H257,len(H257)-find(""/"",H257)-1),H257))"),"fontsinuse.com")</f>
        <v>fontsinuse.com</v>
      </c>
      <c r="J257" s="9" t="str">
        <f t="shared" si="74"/>
        <v>fontsinuse.com</v>
      </c>
      <c r="K257" s="9" t="s">
        <v>23</v>
      </c>
      <c r="L257" s="6" t="s">
        <v>176</v>
      </c>
      <c r="M257" s="8" t="str">
        <f t="shared" si="75"/>
        <v>https://newsapi.org/v2/everything?domains=fontsinuse.com&amp;apiKey=7d4cb29b783f48c8a1837901e959f134</v>
      </c>
      <c r="N257" s="6">
        <v>0.0</v>
      </c>
      <c r="O257" s="6" t="s">
        <v>25</v>
      </c>
      <c r="P257" s="6"/>
      <c r="Q257" s="6">
        <v>1.0</v>
      </c>
      <c r="R257" s="6" t="s">
        <v>26</v>
      </c>
      <c r="S257" s="6" t="s">
        <v>27</v>
      </c>
      <c r="T257" s="6" t="s">
        <v>52</v>
      </c>
    </row>
    <row r="258">
      <c r="B258" s="6" t="s">
        <v>640</v>
      </c>
      <c r="C258" s="7" t="str">
        <f t="shared" si="1"/>
        <v/>
      </c>
      <c r="D258" s="7" t="s">
        <v>50</v>
      </c>
      <c r="E258" s="7">
        <v>5.0</v>
      </c>
      <c r="F258" s="7"/>
      <c r="G258" s="8" t="s">
        <v>641</v>
      </c>
      <c r="H258" s="9" t="str">
        <f t="shared" si="73"/>
        <v>https://www.foreignaffairs.com</v>
      </c>
      <c r="I258" s="9" t="str">
        <f>IFERROR(__xludf.DUMMYFUNCTION("IF(REGEXMATCH(H258,""www""),RIGHT(H258,LEN(H258)-FIND(""."",H258)+0),if(regexmatch(H258,""https://""),right(H258,len(H258)-find(""/"",H258)-1),H258))"),"foreignaffairs.com")</f>
        <v>foreignaffairs.com</v>
      </c>
      <c r="J258" s="9" t="str">
        <f t="shared" si="74"/>
        <v>foreignaffairs.com</v>
      </c>
      <c r="K258" s="9" t="s">
        <v>23</v>
      </c>
      <c r="L258" s="6" t="s">
        <v>24</v>
      </c>
      <c r="M258" s="8" t="str">
        <f t="shared" si="75"/>
        <v>https://newsapi.org/v2/everything?domains=foreignaffairs.com&amp;apiKey=ae2ad3e68d4e4daca149bbfb9b61c010</v>
      </c>
      <c r="N258" s="6">
        <v>1.0</v>
      </c>
      <c r="O258" s="6" t="s">
        <v>25</v>
      </c>
      <c r="P258" s="6">
        <v>2.0</v>
      </c>
      <c r="Q258" s="6">
        <v>1.0</v>
      </c>
      <c r="R258" s="6" t="s">
        <v>26</v>
      </c>
      <c r="S258" s="6" t="s">
        <v>27</v>
      </c>
      <c r="T258" s="6" t="s">
        <v>40</v>
      </c>
    </row>
    <row r="259">
      <c r="B259" s="6" t="s">
        <v>642</v>
      </c>
      <c r="C259" s="7" t="str">
        <f t="shared" si="1"/>
        <v/>
      </c>
      <c r="D259" s="16" t="s">
        <v>20</v>
      </c>
      <c r="E259" s="12"/>
      <c r="F259" s="11" t="s">
        <v>643</v>
      </c>
      <c r="G259" s="7"/>
      <c r="M259" s="1"/>
      <c r="N259" s="6">
        <v>0.0</v>
      </c>
      <c r="O259" s="6" t="s">
        <v>43</v>
      </c>
      <c r="P259" s="6"/>
      <c r="Q259" s="6">
        <v>1.0</v>
      </c>
      <c r="R259" s="6" t="s">
        <v>26</v>
      </c>
      <c r="S259" s="6" t="s">
        <v>27</v>
      </c>
      <c r="T259" s="6" t="s">
        <v>70</v>
      </c>
    </row>
    <row r="260">
      <c r="B260" s="6" t="s">
        <v>644</v>
      </c>
      <c r="C260" s="7" t="str">
        <f t="shared" si="1"/>
        <v/>
      </c>
      <c r="D260" s="7" t="s">
        <v>30</v>
      </c>
      <c r="E260" s="12"/>
      <c r="F260" s="11" t="s">
        <v>645</v>
      </c>
      <c r="G260" s="11" t="s">
        <v>646</v>
      </c>
      <c r="H260" s="9" t="str">
        <f>LEFT(G260, LEN(G260)-1)</f>
        <v>https://www.freecodecamp.org</v>
      </c>
      <c r="I260" s="9" t="str">
        <f>IFERROR(__xludf.DUMMYFUNCTION("IF(REGEXMATCH(H260,""www""),RIGHT(H260,LEN(H260)-FIND(""."",H260)+0),if(regexmatch(H260,""https://""),right(H260,len(H260)-find(""/"",H260)-1),H260))"),"freecodecamp.org")</f>
        <v>freecodecamp.org</v>
      </c>
      <c r="J260" s="9" t="str">
        <f>I260</f>
        <v>freecodecamp.org</v>
      </c>
      <c r="K260" s="9" t="s">
        <v>23</v>
      </c>
      <c r="L260" s="6" t="s">
        <v>176</v>
      </c>
      <c r="M260" s="8" t="str">
        <f>K260&amp;J260&amp;L260</f>
        <v>https://newsapi.org/v2/everything?domains=freecodecamp.org&amp;apiKey=7d4cb29b783f48c8a1837901e959f134</v>
      </c>
      <c r="N260" s="6">
        <v>0.0</v>
      </c>
      <c r="O260" s="6" t="s">
        <v>39</v>
      </c>
      <c r="P260" s="6"/>
      <c r="Q260" s="6">
        <v>1.0</v>
      </c>
      <c r="R260" s="6" t="s">
        <v>26</v>
      </c>
      <c r="S260" s="6" t="s">
        <v>27</v>
      </c>
      <c r="T260" s="6" t="s">
        <v>145</v>
      </c>
    </row>
    <row r="261">
      <c r="B261" s="6" t="s">
        <v>647</v>
      </c>
      <c r="C261" s="7" t="str">
        <f t="shared" si="1"/>
        <v>Freethink</v>
      </c>
      <c r="D261" s="7" t="s">
        <v>30</v>
      </c>
      <c r="E261" s="7"/>
      <c r="F261" s="8" t="s">
        <v>648</v>
      </c>
      <c r="G261" s="7"/>
      <c r="H261" s="10"/>
      <c r="I261" s="10"/>
      <c r="J261" s="10"/>
      <c r="K261" s="10"/>
      <c r="L261" s="6"/>
      <c r="M261" s="7"/>
      <c r="N261" s="6">
        <v>1.0</v>
      </c>
      <c r="O261" s="6" t="s">
        <v>25</v>
      </c>
      <c r="P261" s="6"/>
      <c r="Q261" s="6">
        <v>1.0</v>
      </c>
      <c r="R261" s="6" t="s">
        <v>26</v>
      </c>
      <c r="S261" s="6" t="s">
        <v>27</v>
      </c>
      <c r="T261" s="6" t="s">
        <v>76</v>
      </c>
    </row>
    <row r="262">
      <c r="B262" s="6" t="s">
        <v>649</v>
      </c>
      <c r="C262" s="7" t="str">
        <f t="shared" si="1"/>
        <v>Freethink</v>
      </c>
      <c r="D262" s="7" t="s">
        <v>30</v>
      </c>
      <c r="E262" s="7"/>
      <c r="F262" s="8" t="s">
        <v>650</v>
      </c>
      <c r="G262" s="7"/>
      <c r="H262" s="10"/>
      <c r="I262" s="10"/>
      <c r="J262" s="10"/>
      <c r="K262" s="10"/>
      <c r="L262" s="6"/>
      <c r="M262" s="7"/>
      <c r="N262" s="6">
        <v>1.0</v>
      </c>
      <c r="O262" s="6" t="s">
        <v>25</v>
      </c>
      <c r="P262" s="6"/>
      <c r="Q262" s="6">
        <v>1.0</v>
      </c>
      <c r="R262" s="6" t="s">
        <v>26</v>
      </c>
      <c r="S262" s="6" t="s">
        <v>27</v>
      </c>
      <c r="T262" s="6" t="s">
        <v>76</v>
      </c>
    </row>
    <row r="263">
      <c r="B263" s="6" t="s">
        <v>651</v>
      </c>
      <c r="C263" s="7" t="str">
        <f t="shared" si="1"/>
        <v>Freethink</v>
      </c>
      <c r="D263" s="7" t="s">
        <v>30</v>
      </c>
      <c r="E263" s="7"/>
      <c r="F263" s="8" t="s">
        <v>652</v>
      </c>
      <c r="G263" s="7"/>
      <c r="H263" s="10"/>
      <c r="I263" s="10"/>
      <c r="J263" s="10"/>
      <c r="K263" s="10"/>
      <c r="L263" s="6"/>
      <c r="M263" s="7"/>
      <c r="N263" s="6">
        <v>1.0</v>
      </c>
      <c r="O263" s="6" t="s">
        <v>25</v>
      </c>
      <c r="P263" s="6"/>
      <c r="Q263" s="6">
        <v>1.0</v>
      </c>
      <c r="R263" s="6" t="s">
        <v>26</v>
      </c>
      <c r="S263" s="6" t="s">
        <v>27</v>
      </c>
      <c r="T263" s="6" t="s">
        <v>61</v>
      </c>
    </row>
    <row r="264">
      <c r="B264" s="6" t="s">
        <v>653</v>
      </c>
      <c r="C264" s="7" t="str">
        <f t="shared" si="1"/>
        <v>Freethink</v>
      </c>
      <c r="D264" s="7" t="s">
        <v>30</v>
      </c>
      <c r="E264" s="7"/>
      <c r="F264" s="8" t="s">
        <v>654</v>
      </c>
      <c r="G264" s="7"/>
      <c r="H264" s="10"/>
      <c r="I264" s="10"/>
      <c r="J264" s="10"/>
      <c r="K264" s="10"/>
      <c r="L264" s="6"/>
      <c r="M264" s="7"/>
      <c r="N264" s="6">
        <v>1.0</v>
      </c>
      <c r="O264" s="6" t="s">
        <v>25</v>
      </c>
      <c r="P264" s="6"/>
      <c r="Q264" s="6">
        <v>1.0</v>
      </c>
      <c r="R264" s="6" t="s">
        <v>26</v>
      </c>
      <c r="S264" s="6" t="s">
        <v>27</v>
      </c>
      <c r="T264" s="6" t="s">
        <v>76</v>
      </c>
    </row>
    <row r="265">
      <c r="B265" s="6" t="s">
        <v>655</v>
      </c>
      <c r="C265" s="7" t="str">
        <f t="shared" si="1"/>
        <v>Freethink</v>
      </c>
      <c r="D265" s="7" t="s">
        <v>30</v>
      </c>
      <c r="E265" s="7"/>
      <c r="F265" s="8" t="s">
        <v>656</v>
      </c>
      <c r="G265" s="7"/>
      <c r="H265" s="10"/>
      <c r="I265" s="10"/>
      <c r="J265" s="10"/>
      <c r="K265" s="10"/>
      <c r="L265" s="6"/>
      <c r="M265" s="7"/>
      <c r="N265" s="6">
        <v>1.0</v>
      </c>
      <c r="O265" s="6" t="s">
        <v>25</v>
      </c>
      <c r="P265" s="6"/>
      <c r="Q265" s="6">
        <v>1.0</v>
      </c>
      <c r="R265" s="6" t="s">
        <v>26</v>
      </c>
      <c r="S265" s="6" t="s">
        <v>27</v>
      </c>
      <c r="T265" s="6" t="s">
        <v>85</v>
      </c>
    </row>
    <row r="266">
      <c r="B266" s="6" t="s">
        <v>657</v>
      </c>
      <c r="C266" s="7" t="str">
        <f t="shared" si="1"/>
        <v>Freethink</v>
      </c>
      <c r="D266" s="7" t="s">
        <v>30</v>
      </c>
      <c r="E266" s="7"/>
      <c r="F266" s="8" t="s">
        <v>658</v>
      </c>
      <c r="G266" s="7"/>
      <c r="H266" s="10"/>
      <c r="I266" s="10"/>
      <c r="J266" s="10"/>
      <c r="K266" s="10"/>
      <c r="L266" s="6"/>
      <c r="M266" s="7"/>
      <c r="N266" s="6">
        <v>1.0</v>
      </c>
      <c r="O266" s="6" t="s">
        <v>25</v>
      </c>
      <c r="P266" s="6"/>
      <c r="Q266" s="6">
        <v>1.0</v>
      </c>
      <c r="R266" s="6" t="s">
        <v>26</v>
      </c>
      <c r="S266" s="6" t="s">
        <v>27</v>
      </c>
      <c r="T266" s="6" t="s">
        <v>131</v>
      </c>
    </row>
    <row r="267">
      <c r="B267" s="6" t="s">
        <v>659</v>
      </c>
      <c r="C267" s="7" t="str">
        <f t="shared" si="1"/>
        <v>Freethink</v>
      </c>
      <c r="D267" s="7" t="s">
        <v>30</v>
      </c>
      <c r="E267" s="7"/>
      <c r="F267" s="8" t="s">
        <v>660</v>
      </c>
      <c r="G267" s="7"/>
      <c r="H267" s="10"/>
      <c r="I267" s="10"/>
      <c r="J267" s="10"/>
      <c r="K267" s="10"/>
      <c r="L267" s="6"/>
      <c r="M267" s="7"/>
      <c r="N267" s="6">
        <v>1.0</v>
      </c>
      <c r="O267" s="6" t="s">
        <v>25</v>
      </c>
      <c r="P267" s="6"/>
      <c r="Q267" s="6">
        <v>1.0</v>
      </c>
      <c r="R267" s="6" t="s">
        <v>26</v>
      </c>
      <c r="S267" s="6" t="s">
        <v>27</v>
      </c>
      <c r="T267" s="6" t="s">
        <v>76</v>
      </c>
    </row>
    <row r="268">
      <c r="B268" s="6" t="s">
        <v>661</v>
      </c>
      <c r="C268" s="7" t="str">
        <f t="shared" si="1"/>
        <v>Freethink</v>
      </c>
      <c r="D268" s="7" t="s">
        <v>30</v>
      </c>
      <c r="E268" s="7"/>
      <c r="F268" s="8" t="s">
        <v>662</v>
      </c>
      <c r="G268" s="7"/>
      <c r="H268" s="10"/>
      <c r="I268" s="10"/>
      <c r="J268" s="10"/>
      <c r="K268" s="10"/>
      <c r="L268" s="6"/>
      <c r="M268" s="7"/>
      <c r="N268" s="6">
        <v>1.0</v>
      </c>
      <c r="O268" s="6" t="s">
        <v>25</v>
      </c>
      <c r="P268" s="6"/>
      <c r="Q268" s="6">
        <v>1.0</v>
      </c>
      <c r="R268" s="6" t="s">
        <v>26</v>
      </c>
      <c r="S268" s="6" t="s">
        <v>27</v>
      </c>
      <c r="T268" s="6" t="s">
        <v>101</v>
      </c>
    </row>
    <row r="269">
      <c r="B269" s="6" t="s">
        <v>663</v>
      </c>
      <c r="C269" s="7" t="str">
        <f t="shared" si="1"/>
        <v>Freethink</v>
      </c>
      <c r="D269" s="7" t="s">
        <v>30</v>
      </c>
      <c r="E269" s="7"/>
      <c r="F269" s="8" t="s">
        <v>664</v>
      </c>
      <c r="G269" s="7"/>
      <c r="H269" s="10"/>
      <c r="I269" s="10"/>
      <c r="J269" s="10"/>
      <c r="K269" s="10"/>
      <c r="L269" s="6"/>
      <c r="M269" s="7"/>
      <c r="N269" s="6">
        <v>1.0</v>
      </c>
      <c r="O269" s="6" t="s">
        <v>25</v>
      </c>
      <c r="P269" s="6"/>
      <c r="Q269" s="6">
        <v>1.0</v>
      </c>
      <c r="R269" s="6" t="s">
        <v>26</v>
      </c>
      <c r="S269" s="6" t="s">
        <v>27</v>
      </c>
      <c r="T269" s="6" t="s">
        <v>76</v>
      </c>
    </row>
    <row r="270">
      <c r="B270" s="6" t="s">
        <v>665</v>
      </c>
      <c r="C270" s="7" t="str">
        <f t="shared" si="1"/>
        <v>Freethink</v>
      </c>
      <c r="D270" s="7" t="s">
        <v>30</v>
      </c>
      <c r="E270" s="7"/>
      <c r="F270" s="8" t="s">
        <v>666</v>
      </c>
      <c r="G270" s="7"/>
      <c r="H270" s="10"/>
      <c r="I270" s="10"/>
      <c r="J270" s="10"/>
      <c r="K270" s="10"/>
      <c r="L270" s="6"/>
      <c r="M270" s="7"/>
      <c r="N270" s="6">
        <v>1.0</v>
      </c>
      <c r="O270" s="6" t="s">
        <v>25</v>
      </c>
      <c r="P270" s="6"/>
      <c r="Q270" s="6">
        <v>1.0</v>
      </c>
      <c r="R270" s="6" t="s">
        <v>26</v>
      </c>
      <c r="S270" s="6" t="s">
        <v>27</v>
      </c>
      <c r="T270" s="6" t="s">
        <v>28</v>
      </c>
    </row>
    <row r="271">
      <c r="B271" s="6" t="s">
        <v>667</v>
      </c>
      <c r="C271" s="7" t="str">
        <f t="shared" si="1"/>
        <v>Freethink</v>
      </c>
      <c r="D271" s="7" t="s">
        <v>30</v>
      </c>
      <c r="E271" s="7"/>
      <c r="F271" s="8" t="s">
        <v>668</v>
      </c>
      <c r="G271" s="7"/>
      <c r="H271" s="10"/>
      <c r="I271" s="10"/>
      <c r="J271" s="10"/>
      <c r="K271" s="10"/>
      <c r="M271" s="7"/>
      <c r="N271" s="6">
        <v>1.0</v>
      </c>
      <c r="O271" s="6" t="s">
        <v>25</v>
      </c>
      <c r="P271" s="6"/>
      <c r="Q271" s="6">
        <v>1.0</v>
      </c>
      <c r="R271" s="6" t="s">
        <v>26</v>
      </c>
      <c r="S271" s="6" t="s">
        <v>27</v>
      </c>
      <c r="T271" s="6" t="s">
        <v>64</v>
      </c>
    </row>
    <row r="272">
      <c r="B272" s="6" t="s">
        <v>669</v>
      </c>
      <c r="C272" s="7" t="str">
        <f t="shared" si="1"/>
        <v>Freethink</v>
      </c>
      <c r="D272" s="7" t="s">
        <v>30</v>
      </c>
      <c r="E272" s="7"/>
      <c r="F272" s="8" t="s">
        <v>670</v>
      </c>
      <c r="G272" s="7"/>
      <c r="H272" s="10"/>
      <c r="I272" s="10"/>
      <c r="J272" s="10"/>
      <c r="K272" s="10"/>
      <c r="L272" s="6"/>
      <c r="M272" s="7"/>
      <c r="N272" s="6">
        <v>1.0</v>
      </c>
      <c r="O272" s="6" t="s">
        <v>25</v>
      </c>
      <c r="P272" s="6"/>
      <c r="Q272" s="6">
        <v>1.0</v>
      </c>
      <c r="R272" s="6" t="s">
        <v>26</v>
      </c>
      <c r="S272" s="6" t="s">
        <v>27</v>
      </c>
      <c r="T272" s="6" t="s">
        <v>671</v>
      </c>
    </row>
    <row r="273">
      <c r="B273" s="6" t="s">
        <v>672</v>
      </c>
      <c r="C273" s="7" t="str">
        <f t="shared" si="1"/>
        <v/>
      </c>
      <c r="D273" s="7" t="s">
        <v>30</v>
      </c>
      <c r="E273" s="1"/>
      <c r="F273" s="8" t="s">
        <v>673</v>
      </c>
      <c r="G273" s="8" t="s">
        <v>674</v>
      </c>
      <c r="H273" s="9" t="str">
        <f>LEFT(G273, LEN(G273)-1)</f>
        <v>https://www.frieze.com</v>
      </c>
      <c r="I273" s="9" t="str">
        <f>IFERROR(__xludf.DUMMYFUNCTION("IF(REGEXMATCH(H273,""www""),RIGHT(H273,LEN(H273)-FIND(""."",H273)+0),if(regexmatch(H273,""https://""),right(H273,len(H273)-find(""/"",H273)-1),H273))"),"frieze.com")</f>
        <v>frieze.com</v>
      </c>
      <c r="J273" s="9" t="str">
        <f>I273</f>
        <v>frieze.com</v>
      </c>
      <c r="K273" s="9" t="s">
        <v>23</v>
      </c>
      <c r="L273" s="6" t="s">
        <v>24</v>
      </c>
      <c r="M273" s="8" t="str">
        <f>K273&amp;J273&amp;L273</f>
        <v>https://newsapi.org/v2/everything?domains=frieze.com&amp;apiKey=ae2ad3e68d4e4daca149bbfb9b61c010</v>
      </c>
      <c r="N273" s="6">
        <v>1.0</v>
      </c>
      <c r="O273" s="6" t="s">
        <v>25</v>
      </c>
      <c r="P273" s="6">
        <v>2.0</v>
      </c>
      <c r="Q273" s="6">
        <v>1.0</v>
      </c>
      <c r="R273" s="6" t="s">
        <v>26</v>
      </c>
      <c r="S273" s="6" t="s">
        <v>27</v>
      </c>
      <c r="T273" s="6" t="s">
        <v>67</v>
      </c>
    </row>
    <row r="274">
      <c r="B274" s="6" t="s">
        <v>675</v>
      </c>
      <c r="C274" s="7" t="str">
        <f t="shared" si="1"/>
        <v>Frontiers</v>
      </c>
      <c r="D274" s="7" t="s">
        <v>20</v>
      </c>
      <c r="E274" s="7"/>
      <c r="F274" s="8" t="s">
        <v>676</v>
      </c>
      <c r="G274" s="7"/>
      <c r="M274" s="1"/>
      <c r="N274" s="6">
        <v>0.0</v>
      </c>
      <c r="O274" s="6" t="s">
        <v>25</v>
      </c>
      <c r="P274" s="6"/>
      <c r="Q274" s="6">
        <v>1.0</v>
      </c>
      <c r="R274" s="6" t="s">
        <v>26</v>
      </c>
      <c r="S274" s="6" t="s">
        <v>27</v>
      </c>
      <c r="T274" s="6" t="s">
        <v>76</v>
      </c>
    </row>
    <row r="275">
      <c r="B275" s="6" t="s">
        <v>677</v>
      </c>
      <c r="C275" s="7" t="str">
        <f t="shared" si="1"/>
        <v>Frontiers</v>
      </c>
      <c r="D275" s="7" t="s">
        <v>20</v>
      </c>
      <c r="E275" s="7"/>
      <c r="F275" s="8" t="s">
        <v>678</v>
      </c>
      <c r="G275" s="1"/>
      <c r="M275" s="1"/>
      <c r="N275" s="6">
        <v>0.0</v>
      </c>
      <c r="O275" s="6" t="s">
        <v>25</v>
      </c>
      <c r="P275" s="6"/>
      <c r="Q275" s="6">
        <v>1.0</v>
      </c>
      <c r="R275" s="6" t="s">
        <v>26</v>
      </c>
      <c r="S275" s="6" t="s">
        <v>27</v>
      </c>
      <c r="T275" s="6" t="s">
        <v>300</v>
      </c>
    </row>
    <row r="276">
      <c r="B276" s="6" t="s">
        <v>679</v>
      </c>
      <c r="C276" s="7" t="str">
        <f t="shared" si="1"/>
        <v>Frontiers</v>
      </c>
      <c r="D276" s="7" t="s">
        <v>20</v>
      </c>
      <c r="E276" s="7"/>
      <c r="F276" s="8" t="s">
        <v>680</v>
      </c>
      <c r="G276" s="1"/>
      <c r="M276" s="1"/>
      <c r="N276" s="6">
        <v>0.0</v>
      </c>
      <c r="O276" s="6" t="s">
        <v>25</v>
      </c>
      <c r="P276" s="6"/>
      <c r="Q276" s="6">
        <v>1.0</v>
      </c>
      <c r="R276" s="6" t="s">
        <v>26</v>
      </c>
      <c r="S276" s="6" t="s">
        <v>27</v>
      </c>
      <c r="T276" s="6" t="s">
        <v>145</v>
      </c>
    </row>
    <row r="277">
      <c r="B277" s="6" t="s">
        <v>681</v>
      </c>
      <c r="C277" s="7" t="str">
        <f t="shared" si="1"/>
        <v>Frontiers</v>
      </c>
      <c r="D277" s="7" t="s">
        <v>20</v>
      </c>
      <c r="E277" s="7"/>
      <c r="F277" s="8" t="s">
        <v>682</v>
      </c>
      <c r="G277" s="1"/>
      <c r="M277" s="1"/>
      <c r="N277" s="6">
        <v>0.0</v>
      </c>
      <c r="O277" s="6" t="s">
        <v>25</v>
      </c>
      <c r="P277" s="6"/>
      <c r="Q277" s="6">
        <v>1.0</v>
      </c>
      <c r="R277" s="6" t="s">
        <v>26</v>
      </c>
      <c r="S277" s="6" t="s">
        <v>27</v>
      </c>
      <c r="T277" s="6" t="s">
        <v>85</v>
      </c>
    </row>
    <row r="278">
      <c r="B278" s="6" t="s">
        <v>683</v>
      </c>
      <c r="C278" s="7" t="str">
        <f t="shared" si="1"/>
        <v>Frontiers</v>
      </c>
      <c r="D278" s="7" t="s">
        <v>20</v>
      </c>
      <c r="E278" s="7"/>
      <c r="F278" s="8" t="s">
        <v>684</v>
      </c>
      <c r="G278" s="1"/>
      <c r="M278" s="1"/>
      <c r="N278" s="6">
        <v>0.0</v>
      </c>
      <c r="O278" s="6" t="s">
        <v>25</v>
      </c>
      <c r="P278" s="6"/>
      <c r="Q278" s="6">
        <v>1.0</v>
      </c>
      <c r="R278" s="6" t="s">
        <v>26</v>
      </c>
      <c r="S278" s="6" t="s">
        <v>27</v>
      </c>
      <c r="T278" s="6" t="s">
        <v>85</v>
      </c>
    </row>
    <row r="279">
      <c r="B279" s="6" t="s">
        <v>685</v>
      </c>
      <c r="C279" s="7" t="str">
        <f t="shared" si="1"/>
        <v>Frontiers</v>
      </c>
      <c r="D279" s="7" t="s">
        <v>20</v>
      </c>
      <c r="E279" s="7"/>
      <c r="F279" s="8" t="s">
        <v>686</v>
      </c>
      <c r="G279" s="1"/>
      <c r="M279" s="1"/>
      <c r="N279" s="6">
        <v>0.0</v>
      </c>
      <c r="O279" s="6" t="s">
        <v>25</v>
      </c>
      <c r="P279" s="6"/>
      <c r="Q279" s="6">
        <v>1.0</v>
      </c>
      <c r="R279" s="6" t="s">
        <v>26</v>
      </c>
      <c r="S279" s="6" t="s">
        <v>27</v>
      </c>
      <c r="T279" s="6" t="s">
        <v>76</v>
      </c>
    </row>
    <row r="280">
      <c r="B280" s="6" t="s">
        <v>687</v>
      </c>
      <c r="C280" s="7" t="str">
        <f t="shared" si="1"/>
        <v>Frontiers</v>
      </c>
      <c r="D280" s="7" t="s">
        <v>20</v>
      </c>
      <c r="E280" s="7"/>
      <c r="F280" s="8" t="s">
        <v>688</v>
      </c>
      <c r="G280" s="1"/>
      <c r="M280" s="1"/>
      <c r="N280" s="6">
        <v>0.0</v>
      </c>
      <c r="O280" s="6" t="s">
        <v>25</v>
      </c>
      <c r="P280" s="6"/>
      <c r="Q280" s="6">
        <v>1.0</v>
      </c>
      <c r="R280" s="6" t="s">
        <v>26</v>
      </c>
      <c r="S280" s="6" t="s">
        <v>27</v>
      </c>
      <c r="T280" s="6" t="s">
        <v>85</v>
      </c>
    </row>
    <row r="281">
      <c r="B281" s="6" t="s">
        <v>689</v>
      </c>
      <c r="C281" s="7" t="str">
        <f t="shared" si="1"/>
        <v>Frontiers</v>
      </c>
      <c r="D281" s="7" t="s">
        <v>20</v>
      </c>
      <c r="E281" s="7"/>
      <c r="F281" s="8" t="s">
        <v>690</v>
      </c>
      <c r="G281" s="1"/>
      <c r="M281" s="1"/>
      <c r="N281" s="6">
        <v>0.0</v>
      </c>
      <c r="O281" s="6" t="s">
        <v>25</v>
      </c>
      <c r="P281" s="6"/>
      <c r="Q281" s="6">
        <v>1.0</v>
      </c>
      <c r="R281" s="6" t="s">
        <v>26</v>
      </c>
      <c r="S281" s="6" t="s">
        <v>27</v>
      </c>
      <c r="T281" s="6" t="s">
        <v>76</v>
      </c>
    </row>
    <row r="282">
      <c r="B282" s="6" t="s">
        <v>691</v>
      </c>
      <c r="C282" s="7" t="str">
        <f t="shared" si="1"/>
        <v>Frontiers</v>
      </c>
      <c r="D282" s="7" t="s">
        <v>20</v>
      </c>
      <c r="E282" s="7"/>
      <c r="F282" s="8" t="s">
        <v>692</v>
      </c>
      <c r="G282" s="1"/>
      <c r="M282" s="1"/>
      <c r="N282" s="6">
        <v>0.0</v>
      </c>
      <c r="O282" s="6" t="s">
        <v>25</v>
      </c>
      <c r="P282" s="6"/>
      <c r="Q282" s="6">
        <v>1.0</v>
      </c>
      <c r="R282" s="6" t="s">
        <v>26</v>
      </c>
      <c r="S282" s="6" t="s">
        <v>27</v>
      </c>
      <c r="T282" s="6" t="s">
        <v>128</v>
      </c>
    </row>
    <row r="283">
      <c r="B283" s="6" t="s">
        <v>693</v>
      </c>
      <c r="C283" s="7" t="str">
        <f t="shared" si="1"/>
        <v>Frontiers</v>
      </c>
      <c r="D283" s="7" t="s">
        <v>20</v>
      </c>
      <c r="E283" s="7"/>
      <c r="F283" s="8" t="s">
        <v>694</v>
      </c>
      <c r="G283" s="1"/>
      <c r="M283" s="1"/>
      <c r="N283" s="6">
        <v>0.0</v>
      </c>
      <c r="O283" s="6" t="s">
        <v>25</v>
      </c>
      <c r="P283" s="6"/>
      <c r="Q283" s="6">
        <v>1.0</v>
      </c>
      <c r="R283" s="6" t="s">
        <v>26</v>
      </c>
      <c r="S283" s="6" t="s">
        <v>27</v>
      </c>
      <c r="T283" s="6" t="s">
        <v>128</v>
      </c>
    </row>
    <row r="284">
      <c r="B284" s="6" t="s">
        <v>695</v>
      </c>
      <c r="C284" s="7" t="str">
        <f t="shared" si="1"/>
        <v>Frontiers</v>
      </c>
      <c r="D284" s="7" t="s">
        <v>20</v>
      </c>
      <c r="E284" s="7"/>
      <c r="F284" s="8" t="s">
        <v>696</v>
      </c>
      <c r="G284" s="1"/>
      <c r="M284" s="1"/>
      <c r="N284" s="6">
        <v>0.0</v>
      </c>
      <c r="O284" s="6" t="s">
        <v>25</v>
      </c>
      <c r="P284" s="6"/>
      <c r="Q284" s="6">
        <v>1.0</v>
      </c>
      <c r="R284" s="6" t="s">
        <v>26</v>
      </c>
      <c r="S284" s="6" t="s">
        <v>27</v>
      </c>
      <c r="T284" s="6" t="s">
        <v>76</v>
      </c>
    </row>
    <row r="285">
      <c r="B285" s="6" t="s">
        <v>697</v>
      </c>
      <c r="C285" s="7" t="str">
        <f t="shared" si="1"/>
        <v>Frontiers</v>
      </c>
      <c r="D285" s="7" t="s">
        <v>20</v>
      </c>
      <c r="E285" s="7"/>
      <c r="F285" s="8" t="s">
        <v>698</v>
      </c>
      <c r="G285" s="1"/>
      <c r="M285" s="1"/>
      <c r="N285" s="6">
        <v>0.0</v>
      </c>
      <c r="O285" s="6" t="s">
        <v>25</v>
      </c>
      <c r="P285" s="6"/>
      <c r="Q285" s="6">
        <v>1.0</v>
      </c>
      <c r="R285" s="6" t="s">
        <v>26</v>
      </c>
      <c r="S285" s="6" t="s">
        <v>27</v>
      </c>
      <c r="T285" s="6" t="s">
        <v>64</v>
      </c>
    </row>
    <row r="286">
      <c r="B286" s="6" t="s">
        <v>697</v>
      </c>
      <c r="C286" s="7" t="str">
        <f t="shared" si="1"/>
        <v>Frontiers</v>
      </c>
      <c r="D286" s="7" t="s">
        <v>20</v>
      </c>
      <c r="E286" s="7"/>
      <c r="F286" s="8" t="s">
        <v>699</v>
      </c>
      <c r="G286" s="1"/>
      <c r="M286" s="1"/>
      <c r="N286" s="6">
        <v>0.0</v>
      </c>
      <c r="O286" s="6" t="s">
        <v>25</v>
      </c>
      <c r="P286" s="6"/>
      <c r="Q286" s="6">
        <v>1.0</v>
      </c>
      <c r="R286" s="6" t="s">
        <v>26</v>
      </c>
      <c r="S286" s="6" t="s">
        <v>27</v>
      </c>
      <c r="T286" s="6" t="s">
        <v>64</v>
      </c>
    </row>
    <row r="287">
      <c r="B287" s="6" t="s">
        <v>700</v>
      </c>
      <c r="C287" s="7" t="str">
        <f t="shared" si="1"/>
        <v>Frontiers</v>
      </c>
      <c r="D287" s="7" t="s">
        <v>20</v>
      </c>
      <c r="E287" s="7"/>
      <c r="F287" s="8" t="s">
        <v>701</v>
      </c>
      <c r="G287" s="1"/>
      <c r="M287" s="1"/>
      <c r="N287" s="6">
        <v>0.0</v>
      </c>
      <c r="O287" s="6" t="s">
        <v>25</v>
      </c>
      <c r="P287" s="6"/>
      <c r="Q287" s="6">
        <v>1.0</v>
      </c>
      <c r="R287" s="6" t="s">
        <v>26</v>
      </c>
      <c r="S287" s="6" t="s">
        <v>27</v>
      </c>
      <c r="T287" s="6" t="s">
        <v>76</v>
      </c>
    </row>
    <row r="288">
      <c r="B288" s="6" t="s">
        <v>702</v>
      </c>
      <c r="C288" s="7" t="str">
        <f t="shared" si="1"/>
        <v/>
      </c>
      <c r="D288" s="12" t="s">
        <v>50</v>
      </c>
      <c r="E288" s="12"/>
      <c r="F288" s="12"/>
      <c r="G288" s="11" t="s">
        <v>703</v>
      </c>
      <c r="H288" s="9" t="str">
        <f t="shared" ref="H288:H291" si="76">LEFT(G288, LEN(G288)-1)</f>
        <v>https://www.gallup.com</v>
      </c>
      <c r="I288" s="9" t="str">
        <f>IFERROR(__xludf.DUMMYFUNCTION("IF(REGEXMATCH(H288,""www""),RIGHT(H288,LEN(H288)-FIND(""."",H288)+0),if(regexmatch(H288,""https://""),right(H288,len(H288)-find(""/"",H288)-1),H288))"),"gallup.com")</f>
        <v>gallup.com</v>
      </c>
      <c r="J288" s="9" t="str">
        <f t="shared" ref="J288:J291" si="77">I288</f>
        <v>gallup.com</v>
      </c>
      <c r="K288" s="9" t="s">
        <v>23</v>
      </c>
      <c r="L288" s="6" t="s">
        <v>24</v>
      </c>
      <c r="M288" s="8" t="str">
        <f t="shared" ref="M288:M291" si="78">K288&amp;J288&amp;L288</f>
        <v>https://newsapi.org/v2/everything?domains=gallup.com&amp;apiKey=ae2ad3e68d4e4daca149bbfb9b61c010</v>
      </c>
      <c r="N288" s="6">
        <v>1.0</v>
      </c>
      <c r="O288" s="6" t="s">
        <v>25</v>
      </c>
      <c r="P288" s="6"/>
      <c r="Q288" s="6">
        <v>1.0</v>
      </c>
      <c r="R288" s="6" t="s">
        <v>26</v>
      </c>
      <c r="S288" s="6" t="s">
        <v>27</v>
      </c>
      <c r="T288" s="6" t="s">
        <v>300</v>
      </c>
    </row>
    <row r="289">
      <c r="B289" s="6" t="s">
        <v>704</v>
      </c>
      <c r="C289" s="7" t="str">
        <f t="shared" si="1"/>
        <v/>
      </c>
      <c r="D289" s="7" t="s">
        <v>50</v>
      </c>
      <c r="E289" s="12">
        <v>100.0</v>
      </c>
      <c r="F289" s="12"/>
      <c r="G289" s="11" t="s">
        <v>705</v>
      </c>
      <c r="H289" s="9" t="str">
        <f t="shared" si="76"/>
        <v>https://www.gamedeveloper.com</v>
      </c>
      <c r="I289" s="9" t="str">
        <f>IFERROR(__xludf.DUMMYFUNCTION("IF(REGEXMATCH(H289,""www""),RIGHT(H289,LEN(H289)-FIND(""."",H289)+0),if(regexmatch(H289,""https://""),right(H289,len(H289)-find(""/"",H289)-1),H289))"),"gamedeveloper.com")</f>
        <v>gamedeveloper.com</v>
      </c>
      <c r="J289" s="9" t="str">
        <f t="shared" si="77"/>
        <v>gamedeveloper.com</v>
      </c>
      <c r="K289" s="9" t="s">
        <v>23</v>
      </c>
      <c r="L289" s="6" t="s">
        <v>24</v>
      </c>
      <c r="M289" s="8" t="str">
        <f t="shared" si="78"/>
        <v>https://newsapi.org/v2/everything?domains=gamedeveloper.com&amp;apiKey=ae2ad3e68d4e4daca149bbfb9b61c010</v>
      </c>
      <c r="N289" s="6">
        <v>0.0</v>
      </c>
      <c r="O289" s="6" t="s">
        <v>25</v>
      </c>
      <c r="P289" s="6"/>
      <c r="Q289" s="6">
        <v>1.0</v>
      </c>
      <c r="R289" s="6" t="s">
        <v>26</v>
      </c>
      <c r="S289" s="6" t="s">
        <v>27</v>
      </c>
      <c r="T289" s="6" t="s">
        <v>187</v>
      </c>
    </row>
    <row r="290">
      <c r="B290" s="6" t="s">
        <v>706</v>
      </c>
      <c r="C290" s="7" t="str">
        <f t="shared" si="1"/>
        <v/>
      </c>
      <c r="D290" s="7" t="s">
        <v>50</v>
      </c>
      <c r="E290" s="7">
        <v>100.0</v>
      </c>
      <c r="F290" s="7"/>
      <c r="G290" s="8" t="s">
        <v>707</v>
      </c>
      <c r="H290" s="9" t="str">
        <f t="shared" si="76"/>
        <v>https://www.gameinformer.com</v>
      </c>
      <c r="I290" s="9" t="str">
        <f>IFERROR(__xludf.DUMMYFUNCTION("IF(REGEXMATCH(H290,""www""),RIGHT(H290,LEN(H290)-FIND(""."",H290)+0),if(regexmatch(H290,""https://""),right(H290,len(H290)-find(""/"",H290)-1),H290))"),"gameinformer.com")</f>
        <v>gameinformer.com</v>
      </c>
      <c r="J290" s="9" t="str">
        <f t="shared" si="77"/>
        <v>gameinformer.com</v>
      </c>
      <c r="K290" s="9" t="s">
        <v>23</v>
      </c>
      <c r="L290" s="6" t="s">
        <v>176</v>
      </c>
      <c r="M290" s="8" t="str">
        <f t="shared" si="78"/>
        <v>https://newsapi.org/v2/everything?domains=gameinformer.com&amp;apiKey=7d4cb29b783f48c8a1837901e959f134</v>
      </c>
      <c r="N290" s="6">
        <v>1.0</v>
      </c>
      <c r="O290" s="6" t="s">
        <v>25</v>
      </c>
      <c r="P290" s="6"/>
      <c r="Q290" s="6">
        <v>1.0</v>
      </c>
      <c r="R290" s="6" t="s">
        <v>26</v>
      </c>
      <c r="S290" s="6" t="s">
        <v>27</v>
      </c>
      <c r="T290" s="6" t="s">
        <v>187</v>
      </c>
    </row>
    <row r="291">
      <c r="B291" s="6" t="s">
        <v>708</v>
      </c>
      <c r="C291" s="7" t="str">
        <f t="shared" si="1"/>
        <v/>
      </c>
      <c r="D291" s="7" t="s">
        <v>20</v>
      </c>
      <c r="E291" s="7"/>
      <c r="F291" s="8" t="s">
        <v>709</v>
      </c>
      <c r="G291" s="8" t="s">
        <v>710</v>
      </c>
      <c r="H291" s="9" t="str">
        <f t="shared" si="76"/>
        <v>https://www.genengnews.com</v>
      </c>
      <c r="I291" s="9" t="str">
        <f>IFERROR(__xludf.DUMMYFUNCTION("IF(REGEXMATCH(H291,""www""),RIGHT(H291,LEN(H291)-FIND(""."",H291)+0),if(regexmatch(H291,""https://""),right(H291,len(H291)-find(""/"",H291)-1),H291))"),"genengnews.com")</f>
        <v>genengnews.com</v>
      </c>
      <c r="J291" s="9" t="str">
        <f t="shared" si="77"/>
        <v>genengnews.com</v>
      </c>
      <c r="K291" s="9" t="s">
        <v>23</v>
      </c>
      <c r="L291" s="6" t="s">
        <v>176</v>
      </c>
      <c r="M291" s="8" t="str">
        <f t="shared" si="78"/>
        <v>https://newsapi.org/v2/everything?domains=genengnews.com&amp;apiKey=7d4cb29b783f48c8a1837901e959f134</v>
      </c>
      <c r="N291" s="6">
        <v>1.0</v>
      </c>
      <c r="O291" s="6" t="s">
        <v>25</v>
      </c>
      <c r="P291" s="6"/>
      <c r="Q291" s="6">
        <v>1.0</v>
      </c>
      <c r="R291" s="6" t="s">
        <v>26</v>
      </c>
      <c r="S291" s="6" t="s">
        <v>27</v>
      </c>
      <c r="T291" s="6" t="s">
        <v>101</v>
      </c>
    </row>
    <row r="292">
      <c r="B292" s="6" t="s">
        <v>711</v>
      </c>
      <c r="C292" s="7" t="str">
        <f t="shared" si="1"/>
        <v/>
      </c>
      <c r="D292" s="7" t="s">
        <v>20</v>
      </c>
      <c r="E292" s="1"/>
      <c r="F292" s="8" t="s">
        <v>712</v>
      </c>
      <c r="G292" s="1"/>
      <c r="M292" s="1"/>
      <c r="N292" s="6">
        <v>0.0</v>
      </c>
      <c r="O292" s="6" t="s">
        <v>25</v>
      </c>
      <c r="P292" s="6"/>
      <c r="Q292" s="6">
        <v>1.0</v>
      </c>
      <c r="R292" s="6" t="s">
        <v>26</v>
      </c>
      <c r="S292" s="6" t="s">
        <v>27</v>
      </c>
      <c r="T292" s="6" t="s">
        <v>61</v>
      </c>
    </row>
    <row r="293">
      <c r="B293" s="6" t="s">
        <v>713</v>
      </c>
      <c r="C293" s="7" t="str">
        <f t="shared" si="1"/>
        <v/>
      </c>
      <c r="D293" s="7" t="s">
        <v>30</v>
      </c>
      <c r="E293" s="7"/>
      <c r="F293" s="8" t="s">
        <v>714</v>
      </c>
      <c r="G293" s="8" t="s">
        <v>715</v>
      </c>
      <c r="H293" s="9" t="str">
        <f t="shared" ref="H293:H296" si="79">LEFT(G293, LEN(G293)-1)</f>
        <v>https://blog.gingerbeardman.com</v>
      </c>
      <c r="I293" s="9" t="str">
        <f>IFERROR(__xludf.DUMMYFUNCTION("IF(REGEXMATCH(H293,""www""),RIGHT(H293,LEN(H293)-FIND(""."",H293)+0),if(regexmatch(H293,""https://""),right(H293,len(H293)-find(""/"",H293)-1),H293))"),"blog.gingerbeardman.com")</f>
        <v>blog.gingerbeardman.com</v>
      </c>
      <c r="J293" s="9" t="str">
        <f t="shared" ref="J293:J296" si="80">I293</f>
        <v>blog.gingerbeardman.com</v>
      </c>
      <c r="K293" s="9" t="s">
        <v>23</v>
      </c>
      <c r="L293" s="6" t="s">
        <v>176</v>
      </c>
      <c r="M293" s="8" t="str">
        <f t="shared" ref="M293:M296" si="81">K293&amp;J293&amp;L293</f>
        <v>https://newsapi.org/v2/everything?domains=blog.gingerbeardman.com&amp;apiKey=7d4cb29b783f48c8a1837901e959f134</v>
      </c>
      <c r="N293" s="6">
        <v>0.0</v>
      </c>
      <c r="O293" s="6" t="s">
        <v>39</v>
      </c>
      <c r="P293" s="6"/>
      <c r="Q293" s="6">
        <v>1.0</v>
      </c>
      <c r="R293" s="6" t="s">
        <v>26</v>
      </c>
      <c r="S293" s="6" t="s">
        <v>27</v>
      </c>
      <c r="T293" s="6" t="s">
        <v>76</v>
      </c>
    </row>
    <row r="294">
      <c r="B294" s="6" t="s">
        <v>716</v>
      </c>
      <c r="C294" s="7" t="str">
        <f t="shared" si="1"/>
        <v/>
      </c>
      <c r="D294" s="7" t="s">
        <v>50</v>
      </c>
      <c r="E294" s="7">
        <v>100.0</v>
      </c>
      <c r="F294" s="7"/>
      <c r="G294" s="8" t="s">
        <v>717</v>
      </c>
      <c r="H294" s="9" t="str">
        <f t="shared" si="79"/>
        <v>https://gizmodo.com</v>
      </c>
      <c r="I294" s="9" t="str">
        <f>IFERROR(__xludf.DUMMYFUNCTION("IF(REGEXMATCH(H294,""www""),RIGHT(H294,LEN(H294)-FIND(""."",H294)+0),if(regexmatch(H294,""https://""),right(H294,len(H294)-find(""/"",H294)-1),H294))"),"gizmodo.com")</f>
        <v>gizmodo.com</v>
      </c>
      <c r="J294" s="9" t="str">
        <f t="shared" si="80"/>
        <v>gizmodo.com</v>
      </c>
      <c r="K294" s="9" t="s">
        <v>23</v>
      </c>
      <c r="L294" s="6" t="s">
        <v>24</v>
      </c>
      <c r="M294" s="8" t="str">
        <f t="shared" si="81"/>
        <v>https://newsapi.org/v2/everything?domains=gizmodo.com&amp;apiKey=ae2ad3e68d4e4daca149bbfb9b61c010</v>
      </c>
      <c r="N294" s="6">
        <v>1.0</v>
      </c>
      <c r="O294" s="6" t="s">
        <v>25</v>
      </c>
      <c r="P294" s="6"/>
      <c r="Q294" s="6">
        <v>1.0</v>
      </c>
      <c r="R294" s="6" t="s">
        <v>26</v>
      </c>
      <c r="S294" s="6" t="s">
        <v>27</v>
      </c>
      <c r="T294" s="6" t="s">
        <v>76</v>
      </c>
    </row>
    <row r="295">
      <c r="B295" s="6" t="s">
        <v>718</v>
      </c>
      <c r="C295" s="7" t="str">
        <f t="shared" si="1"/>
        <v/>
      </c>
      <c r="D295" s="7" t="s">
        <v>50</v>
      </c>
      <c r="E295" s="7">
        <v>100.0</v>
      </c>
      <c r="F295" s="7"/>
      <c r="G295" s="8" t="s">
        <v>719</v>
      </c>
      <c r="H295" s="9" t="str">
        <f t="shared" si="79"/>
        <v>https://www.globenewswire.com</v>
      </c>
      <c r="I295" s="9" t="str">
        <f>IFERROR(__xludf.DUMMYFUNCTION("IF(REGEXMATCH(H295,""www""),RIGHT(H295,LEN(H295)-FIND(""."",H295)+0),if(regexmatch(H295,""https://""),right(H295,len(H295)-find(""/"",H295)-1),H295))"),"globenewswire.com")</f>
        <v>globenewswire.com</v>
      </c>
      <c r="J295" s="9" t="str">
        <f t="shared" si="80"/>
        <v>globenewswire.com</v>
      </c>
      <c r="K295" s="9" t="s">
        <v>23</v>
      </c>
      <c r="L295" s="6" t="s">
        <v>176</v>
      </c>
      <c r="M295" s="8" t="str">
        <f t="shared" si="81"/>
        <v>https://newsapi.org/v2/everything?domains=globenewswire.com&amp;apiKey=7d4cb29b783f48c8a1837901e959f134</v>
      </c>
      <c r="N295" s="6">
        <v>1.0</v>
      </c>
      <c r="O295" s="6" t="s">
        <v>25</v>
      </c>
      <c r="P295" s="6"/>
      <c r="Q295" s="6">
        <v>1.0</v>
      </c>
      <c r="R295" s="6" t="s">
        <v>26</v>
      </c>
      <c r="S295" s="6" t="s">
        <v>27</v>
      </c>
      <c r="T295" s="6" t="s">
        <v>48</v>
      </c>
    </row>
    <row r="296">
      <c r="B296" s="14" t="s">
        <v>720</v>
      </c>
      <c r="C296" s="7" t="str">
        <f t="shared" si="1"/>
        <v/>
      </c>
      <c r="D296" s="16" t="s">
        <v>20</v>
      </c>
      <c r="E296" s="17"/>
      <c r="F296" s="18" t="s">
        <v>721</v>
      </c>
      <c r="G296" s="17" t="s">
        <v>722</v>
      </c>
      <c r="H296" s="9" t="str">
        <f t="shared" si="79"/>
        <v>https://greatergood.berkeley.edu</v>
      </c>
      <c r="I296" s="9" t="str">
        <f>IFERROR(__xludf.DUMMYFUNCTION("IF(REGEXMATCH(H296,""www""),RIGHT(H296,LEN(H296)-FIND(""."",H296)+0),if(regexmatch(H296,""https://""),right(H296,len(H296)-find(""/"",H296)-1),H296))"),"greatergood.berkeley.edu")</f>
        <v>greatergood.berkeley.edu</v>
      </c>
      <c r="J296" s="9" t="str">
        <f t="shared" si="80"/>
        <v>greatergood.berkeley.edu</v>
      </c>
      <c r="K296" s="9" t="s">
        <v>23</v>
      </c>
      <c r="L296" s="6" t="s">
        <v>176</v>
      </c>
      <c r="M296" s="8" t="str">
        <f t="shared" si="81"/>
        <v>https://newsapi.org/v2/everything?domains=greatergood.berkeley.edu&amp;apiKey=7d4cb29b783f48c8a1837901e959f134</v>
      </c>
      <c r="N296" s="15">
        <v>1.0</v>
      </c>
      <c r="O296" s="14" t="s">
        <v>25</v>
      </c>
      <c r="P296" s="14"/>
      <c r="Q296" s="15">
        <v>1.0</v>
      </c>
      <c r="R296" s="6" t="s">
        <v>26</v>
      </c>
      <c r="S296" s="14" t="s">
        <v>27</v>
      </c>
      <c r="T296" s="14" t="s">
        <v>107</v>
      </c>
    </row>
    <row r="297">
      <c r="B297" s="6" t="s">
        <v>723</v>
      </c>
      <c r="C297" s="7" t="str">
        <f t="shared" si="1"/>
        <v/>
      </c>
      <c r="D297" s="7" t="s">
        <v>20</v>
      </c>
      <c r="E297" s="1"/>
      <c r="F297" s="8" t="s">
        <v>724</v>
      </c>
      <c r="G297" s="1"/>
      <c r="M297" s="1"/>
      <c r="N297" s="6">
        <v>0.0</v>
      </c>
      <c r="O297" s="6" t="s">
        <v>43</v>
      </c>
      <c r="P297" s="6"/>
      <c r="Q297" s="6">
        <v>1.0</v>
      </c>
      <c r="R297" s="6" t="s">
        <v>26</v>
      </c>
      <c r="S297" s="6" t="s">
        <v>27</v>
      </c>
      <c r="T297" s="6" t="s">
        <v>248</v>
      </c>
    </row>
    <row r="298">
      <c r="B298" s="6" t="s">
        <v>725</v>
      </c>
      <c r="C298" s="7" t="str">
        <f t="shared" si="1"/>
        <v/>
      </c>
      <c r="D298" s="16" t="s">
        <v>20</v>
      </c>
      <c r="E298" s="12"/>
      <c r="F298" s="11" t="s">
        <v>726</v>
      </c>
      <c r="G298" s="7"/>
      <c r="M298" s="1"/>
      <c r="N298" s="6">
        <v>0.0</v>
      </c>
      <c r="O298" s="6" t="s">
        <v>43</v>
      </c>
      <c r="P298" s="6"/>
      <c r="Q298" s="6">
        <v>1.0</v>
      </c>
      <c r="R298" s="6" t="s">
        <v>26</v>
      </c>
      <c r="S298" s="6" t="s">
        <v>27</v>
      </c>
      <c r="T298" s="6" t="s">
        <v>76</v>
      </c>
    </row>
    <row r="299">
      <c r="B299" s="6" t="s">
        <v>727</v>
      </c>
      <c r="C299" s="7" t="str">
        <f t="shared" si="1"/>
        <v/>
      </c>
      <c r="D299" s="7" t="s">
        <v>20</v>
      </c>
      <c r="E299" s="7"/>
      <c r="F299" s="8" t="s">
        <v>728</v>
      </c>
      <c r="G299" s="8" t="s">
        <v>729</v>
      </c>
      <c r="H299" s="9" t="str">
        <f>LEFT(G299, LEN(G299)-1)</f>
        <v>https://guytal.blog</v>
      </c>
      <c r="I299" s="10" t="str">
        <f>IFERROR(__xludf.DUMMYFUNCTION("IF(REGEXMATCH(H299,""www""),RIGHT(H299,LEN(H299)-FIND(""."",H299)+0),if(regexmatch(H299,""https://""),right(H299,len(H299)-find(""/"",H299)-1),H299))"),"guytal.blog")</f>
        <v>guytal.blog</v>
      </c>
      <c r="J299" s="10" t="str">
        <f>I299</f>
        <v>guytal.blog</v>
      </c>
      <c r="K299" s="9" t="s">
        <v>23</v>
      </c>
      <c r="L299" s="6" t="s">
        <v>24</v>
      </c>
      <c r="M299" s="8" t="str">
        <f>K299&amp;J299&amp;L299</f>
        <v>https://newsapi.org/v2/everything?domains=guytal.blog&amp;apiKey=ae2ad3e68d4e4daca149bbfb9b61c010</v>
      </c>
      <c r="N299" s="6">
        <v>0.0</v>
      </c>
      <c r="O299" s="6" t="s">
        <v>39</v>
      </c>
      <c r="P299" s="6"/>
      <c r="Q299" s="6">
        <v>1.0</v>
      </c>
      <c r="R299" s="6" t="s">
        <v>26</v>
      </c>
      <c r="S299" s="6" t="s">
        <v>27</v>
      </c>
      <c r="T299" s="6" t="s">
        <v>333</v>
      </c>
    </row>
    <row r="300">
      <c r="B300" s="6" t="s">
        <v>730</v>
      </c>
      <c r="C300" s="7" t="str">
        <f t="shared" si="1"/>
        <v/>
      </c>
      <c r="D300" s="7" t="s">
        <v>30</v>
      </c>
      <c r="E300" s="1"/>
      <c r="F300" s="8" t="s">
        <v>731</v>
      </c>
      <c r="G300" s="1"/>
      <c r="M300" s="1"/>
      <c r="N300" s="6">
        <v>1.0</v>
      </c>
      <c r="O300" s="6" t="s">
        <v>25</v>
      </c>
      <c r="P300" s="6"/>
      <c r="Q300" s="6">
        <v>1.0</v>
      </c>
      <c r="R300" s="6" t="s">
        <v>26</v>
      </c>
      <c r="S300" s="6" t="s">
        <v>27</v>
      </c>
      <c r="T300" s="6" t="s">
        <v>241</v>
      </c>
    </row>
    <row r="301">
      <c r="B301" s="6" t="s">
        <v>732</v>
      </c>
      <c r="C301" s="7" t="str">
        <f t="shared" si="1"/>
        <v/>
      </c>
      <c r="D301" s="7" t="s">
        <v>20</v>
      </c>
      <c r="E301" s="7"/>
      <c r="F301" s="8" t="s">
        <v>733</v>
      </c>
      <c r="G301" s="8" t="s">
        <v>734</v>
      </c>
      <c r="H301" s="9" t="str">
        <f>LEFT(G301, LEN(G301)-1)</f>
        <v>https://hackaday.com</v>
      </c>
      <c r="I301" s="9" t="str">
        <f>IFERROR(__xludf.DUMMYFUNCTION("IF(REGEXMATCH(H301,""www""),RIGHT(H301,LEN(H301)-FIND(""."",H301)+0),if(regexmatch(H301,""https://""),right(H301,len(H301)-find(""/"",H301)-1),H301))"),"hackaday.com")</f>
        <v>hackaday.com</v>
      </c>
      <c r="J301" s="9" t="str">
        <f>I301</f>
        <v>hackaday.com</v>
      </c>
      <c r="K301" s="9" t="s">
        <v>23</v>
      </c>
      <c r="L301" s="6" t="s">
        <v>176</v>
      </c>
      <c r="M301" s="8" t="str">
        <f>K301&amp;J301&amp;L301</f>
        <v>https://newsapi.org/v2/everything?domains=hackaday.com&amp;apiKey=7d4cb29b783f48c8a1837901e959f134</v>
      </c>
      <c r="N301" s="6">
        <v>0.0</v>
      </c>
      <c r="O301" s="6" t="s">
        <v>25</v>
      </c>
      <c r="P301" s="6"/>
      <c r="Q301" s="6">
        <v>1.0</v>
      </c>
      <c r="R301" s="6" t="s">
        <v>26</v>
      </c>
      <c r="S301" s="6" t="s">
        <v>27</v>
      </c>
      <c r="T301" s="6" t="s">
        <v>145</v>
      </c>
    </row>
    <row r="302">
      <c r="B302" s="14" t="s">
        <v>735</v>
      </c>
      <c r="C302" s="7" t="str">
        <f t="shared" si="1"/>
        <v/>
      </c>
      <c r="D302" s="14" t="s">
        <v>20</v>
      </c>
      <c r="E302" s="17"/>
      <c r="F302" s="17" t="s">
        <v>736</v>
      </c>
      <c r="G302" s="19"/>
      <c r="H302" s="14"/>
      <c r="I302" s="14"/>
      <c r="J302" s="14"/>
      <c r="K302" s="14"/>
      <c r="L302" s="14"/>
      <c r="M302" s="14"/>
      <c r="N302" s="15">
        <v>1.0</v>
      </c>
      <c r="O302" s="14" t="s">
        <v>25</v>
      </c>
      <c r="P302" s="14"/>
      <c r="Q302" s="15">
        <v>1.0</v>
      </c>
      <c r="R302" s="6" t="s">
        <v>26</v>
      </c>
      <c r="S302" s="14" t="s">
        <v>27</v>
      </c>
      <c r="T302" s="14" t="s">
        <v>85</v>
      </c>
    </row>
    <row r="303">
      <c r="B303" s="14" t="s">
        <v>737</v>
      </c>
      <c r="C303" s="7" t="str">
        <f t="shared" si="1"/>
        <v/>
      </c>
      <c r="D303" s="16" t="s">
        <v>50</v>
      </c>
      <c r="E303" s="20">
        <v>9.0</v>
      </c>
      <c r="F303" s="19"/>
      <c r="G303" s="17" t="s">
        <v>738</v>
      </c>
      <c r="H303" s="9" t="str">
        <f t="shared" ref="H303:H305" si="82">LEFT(G303, LEN(G303)-1)</f>
        <v>https://harpers.org</v>
      </c>
      <c r="I303" s="9" t="str">
        <f>IFERROR(__xludf.DUMMYFUNCTION("IF(REGEXMATCH(H303,""www""),RIGHT(H303,LEN(H303)-FIND(""."",H303)+0),if(regexmatch(H303,""https://""),right(H303,len(H303)-find(""/"",H303)-1),H303))"),"harpers.org")</f>
        <v>harpers.org</v>
      </c>
      <c r="J303" s="9" t="str">
        <f t="shared" ref="J303:J305" si="83">I303</f>
        <v>harpers.org</v>
      </c>
      <c r="K303" s="9" t="s">
        <v>23</v>
      </c>
      <c r="L303" s="6" t="s">
        <v>176</v>
      </c>
      <c r="M303" s="8" t="str">
        <f t="shared" ref="M303:M305" si="84">K303&amp;J303&amp;L303</f>
        <v>https://newsapi.org/v2/everything?domains=harpers.org&amp;apiKey=7d4cb29b783f48c8a1837901e959f134</v>
      </c>
      <c r="N303" s="15">
        <v>1.0</v>
      </c>
      <c r="O303" s="14" t="s">
        <v>25</v>
      </c>
      <c r="P303" s="15">
        <v>1.0</v>
      </c>
      <c r="Q303" s="15">
        <v>1.0</v>
      </c>
      <c r="R303" s="6" t="s">
        <v>26</v>
      </c>
      <c r="S303" s="14" t="s">
        <v>27</v>
      </c>
      <c r="T303" s="14" t="s">
        <v>56</v>
      </c>
    </row>
    <row r="304">
      <c r="B304" s="6" t="s">
        <v>739</v>
      </c>
      <c r="C304" s="7" t="str">
        <f t="shared" si="1"/>
        <v/>
      </c>
      <c r="D304" s="6" t="s">
        <v>50</v>
      </c>
      <c r="E304" s="7"/>
      <c r="F304" s="7"/>
      <c r="G304" s="8" t="s">
        <v>740</v>
      </c>
      <c r="H304" s="9" t="str">
        <f t="shared" si="82"/>
        <v>https://www.harvard.edu</v>
      </c>
      <c r="I304" s="9" t="str">
        <f>IFERROR(__xludf.DUMMYFUNCTION("IF(REGEXMATCH(H304,""www""),RIGHT(H304,LEN(H304)-FIND(""."",H304)+0),if(regexmatch(H304,""https://""),right(H304,len(H304)-find(""/"",H304)-1),H304))"),"harvard.edu")</f>
        <v>harvard.edu</v>
      </c>
      <c r="J304" s="9" t="str">
        <f t="shared" si="83"/>
        <v>harvard.edu</v>
      </c>
      <c r="K304" s="9" t="s">
        <v>23</v>
      </c>
      <c r="L304" s="6" t="s">
        <v>24</v>
      </c>
      <c r="M304" s="8" t="str">
        <f t="shared" si="84"/>
        <v>https://newsapi.org/v2/everything?domains=harvard.edu&amp;apiKey=ae2ad3e68d4e4daca149bbfb9b61c010</v>
      </c>
      <c r="N304" s="6">
        <v>0.0</v>
      </c>
      <c r="O304" s="6" t="s">
        <v>25</v>
      </c>
      <c r="P304" s="6"/>
      <c r="Q304" s="6">
        <v>1.0</v>
      </c>
      <c r="R304" s="6" t="s">
        <v>26</v>
      </c>
      <c r="S304" s="6" t="s">
        <v>27</v>
      </c>
      <c r="T304" s="6" t="s">
        <v>223</v>
      </c>
    </row>
    <row r="305">
      <c r="B305" s="6" t="s">
        <v>741</v>
      </c>
      <c r="C305" s="7" t="str">
        <f t="shared" si="1"/>
        <v/>
      </c>
      <c r="D305" s="7" t="s">
        <v>50</v>
      </c>
      <c r="E305" s="7">
        <v>100.0</v>
      </c>
      <c r="F305" s="1"/>
      <c r="G305" s="8" t="s">
        <v>742</v>
      </c>
      <c r="H305" s="9" t="str">
        <f t="shared" si="82"/>
        <v>https://hbr.org</v>
      </c>
      <c r="I305" s="9" t="str">
        <f>IFERROR(__xludf.DUMMYFUNCTION("IF(REGEXMATCH(H305,""www""),RIGHT(H305,LEN(H305)-FIND(""."",H305)+0),if(regexmatch(H305,""https://""),right(H305,len(H305)-find(""/"",H305)-1),H305))"),"hbr.org")</f>
        <v>hbr.org</v>
      </c>
      <c r="J305" s="9" t="str">
        <f t="shared" si="83"/>
        <v>hbr.org</v>
      </c>
      <c r="K305" s="9" t="s">
        <v>23</v>
      </c>
      <c r="L305" s="6" t="s">
        <v>24</v>
      </c>
      <c r="M305" s="8" t="str">
        <f t="shared" si="84"/>
        <v>https://newsapi.org/v2/everything?domains=hbr.org&amp;apiKey=ae2ad3e68d4e4daca149bbfb9b61c010</v>
      </c>
      <c r="N305" s="13">
        <v>0.0</v>
      </c>
      <c r="O305" s="14" t="s">
        <v>25</v>
      </c>
      <c r="P305" s="16">
        <v>2.0</v>
      </c>
      <c r="Q305" s="15">
        <v>1.0</v>
      </c>
      <c r="R305" s="6" t="s">
        <v>26</v>
      </c>
      <c r="S305" s="14" t="s">
        <v>27</v>
      </c>
      <c r="T305" s="16" t="s">
        <v>48</v>
      </c>
    </row>
    <row r="306">
      <c r="B306" s="6" t="s">
        <v>743</v>
      </c>
      <c r="C306" s="7" t="str">
        <f t="shared" si="1"/>
        <v/>
      </c>
      <c r="D306" s="16" t="s">
        <v>20</v>
      </c>
      <c r="E306" s="12"/>
      <c r="F306" s="11" t="s">
        <v>744</v>
      </c>
      <c r="G306" s="7"/>
      <c r="M306" s="1"/>
      <c r="N306" s="6">
        <v>0.0</v>
      </c>
      <c r="O306" s="6" t="s">
        <v>43</v>
      </c>
      <c r="P306" s="6"/>
      <c r="Q306" s="6">
        <v>1.0</v>
      </c>
      <c r="R306" s="6" t="s">
        <v>26</v>
      </c>
      <c r="S306" s="6" t="s">
        <v>27</v>
      </c>
      <c r="T306" s="6" t="s">
        <v>32</v>
      </c>
    </row>
    <row r="307">
      <c r="B307" s="6" t="s">
        <v>745</v>
      </c>
      <c r="C307" s="7" t="str">
        <f t="shared" si="1"/>
        <v/>
      </c>
      <c r="D307" s="7" t="s">
        <v>20</v>
      </c>
      <c r="E307" s="7"/>
      <c r="F307" s="8" t="s">
        <v>746</v>
      </c>
      <c r="G307" s="8" t="s">
        <v>747</v>
      </c>
      <c r="H307" s="9" t="str">
        <f t="shared" ref="H307:H308" si="85">LEFT(G307, LEN(G307)-1)</f>
        <v>http://highscalability.com</v>
      </c>
      <c r="I307" s="9" t="str">
        <f>IFERROR(__xludf.DUMMYFUNCTION("IF(REGEXMATCH(H307,""www""),RIGHT(H307,LEN(H307)-FIND(""."",H307)+0),if(regexmatch(H307,""https://""),right(H307,len(H307)-find(""/"",H307)-1),H307))"),"http://highscalability.com")</f>
        <v>http://highscalability.com</v>
      </c>
      <c r="J307" s="9" t="str">
        <f t="shared" ref="J307:J308" si="86">I307</f>
        <v>http://highscalability.com</v>
      </c>
      <c r="K307" s="9" t="s">
        <v>23</v>
      </c>
      <c r="L307" s="6" t="s">
        <v>176</v>
      </c>
      <c r="M307" s="8" t="str">
        <f t="shared" ref="M307:M308" si="87">K307&amp;J307&amp;L307</f>
        <v>https://newsapi.org/v2/everything?domains=http://highscalability.com&amp;apiKey=7d4cb29b783f48c8a1837901e959f134</v>
      </c>
      <c r="N307" s="6">
        <v>0.0</v>
      </c>
      <c r="O307" s="6" t="s">
        <v>25</v>
      </c>
      <c r="P307" s="6"/>
      <c r="Q307" s="6">
        <v>1.0</v>
      </c>
      <c r="R307" s="6" t="s">
        <v>26</v>
      </c>
      <c r="S307" s="6" t="s">
        <v>27</v>
      </c>
      <c r="T307" s="6" t="s">
        <v>145</v>
      </c>
    </row>
    <row r="308">
      <c r="B308" s="6" t="s">
        <v>748</v>
      </c>
      <c r="C308" s="7" t="str">
        <f t="shared" si="1"/>
        <v/>
      </c>
      <c r="D308" s="7" t="s">
        <v>50</v>
      </c>
      <c r="E308" s="7">
        <v>100.0</v>
      </c>
      <c r="F308" s="7"/>
      <c r="G308" s="8" t="s">
        <v>749</v>
      </c>
      <c r="H308" s="9" t="str">
        <f t="shared" si="85"/>
        <v>https://www.highsnobiety.com</v>
      </c>
      <c r="I308" s="9" t="str">
        <f>IFERROR(__xludf.DUMMYFUNCTION("IF(REGEXMATCH(H308,""www""),RIGHT(H308,LEN(H308)-FIND(""."",H308)+0),if(regexmatch(H308,""https://""),right(H308,len(H308)-find(""/"",H308)-1),H308))"),"highsnobiety.com")</f>
        <v>highsnobiety.com</v>
      </c>
      <c r="J308" s="9" t="str">
        <f t="shared" si="86"/>
        <v>highsnobiety.com</v>
      </c>
      <c r="K308" s="9" t="s">
        <v>23</v>
      </c>
      <c r="L308" s="6" t="s">
        <v>24</v>
      </c>
      <c r="M308" s="8" t="str">
        <f t="shared" si="87"/>
        <v>https://newsapi.org/v2/everything?domains=highsnobiety.com&amp;apiKey=ae2ad3e68d4e4daca149bbfb9b61c010</v>
      </c>
      <c r="N308" s="6">
        <v>1.0</v>
      </c>
      <c r="O308" s="6" t="s">
        <v>25</v>
      </c>
      <c r="P308" s="6"/>
      <c r="Q308" s="6">
        <v>1.0</v>
      </c>
      <c r="R308" s="6" t="s">
        <v>26</v>
      </c>
      <c r="S308" s="6" t="s">
        <v>27</v>
      </c>
      <c r="T308" s="6" t="s">
        <v>285</v>
      </c>
    </row>
    <row r="309">
      <c r="B309" s="6" t="s">
        <v>750</v>
      </c>
      <c r="C309" s="7" t="str">
        <f t="shared" si="1"/>
        <v/>
      </c>
      <c r="D309" s="16" t="s">
        <v>20</v>
      </c>
      <c r="E309" s="12"/>
      <c r="F309" s="11" t="s">
        <v>751</v>
      </c>
      <c r="G309" s="7"/>
      <c r="M309" s="1"/>
      <c r="N309" s="6">
        <v>0.0</v>
      </c>
      <c r="O309" s="6" t="s">
        <v>43</v>
      </c>
      <c r="P309" s="6"/>
      <c r="Q309" s="6">
        <v>1.0</v>
      </c>
      <c r="R309" s="6" t="s">
        <v>26</v>
      </c>
      <c r="S309" s="6" t="s">
        <v>27</v>
      </c>
      <c r="T309" s="6" t="s">
        <v>56</v>
      </c>
    </row>
    <row r="310">
      <c r="B310" s="6" t="s">
        <v>752</v>
      </c>
      <c r="C310" s="8" t="str">
        <f t="shared" si="1"/>
        <v>History.com</v>
      </c>
      <c r="D310" s="7" t="s">
        <v>20</v>
      </c>
      <c r="E310" s="7"/>
      <c r="F310" s="8" t="s">
        <v>753</v>
      </c>
      <c r="G310" s="11" t="s">
        <v>754</v>
      </c>
      <c r="H310" s="9" t="str">
        <f>LEFT(G310, LEN(G310)-1)</f>
        <v>https://www.history.com</v>
      </c>
      <c r="I310" s="9" t="str">
        <f>IFERROR(__xludf.DUMMYFUNCTION("IF(REGEXMATCH(H310,""www""),RIGHT(H310,LEN(H310)-FIND(""."",H310)+0),if(regexmatch(H310,""https://""),right(H310,len(H310)-find(""/"",H310)-1),H310))"),"history.com")</f>
        <v>history.com</v>
      </c>
      <c r="J310" s="9" t="str">
        <f>I310</f>
        <v>history.com</v>
      </c>
      <c r="K310" s="9" t="s">
        <v>23</v>
      </c>
      <c r="L310" s="6" t="s">
        <v>176</v>
      </c>
      <c r="M310" s="8" t="str">
        <f>K310&amp;J310&amp;L310</f>
        <v>https://newsapi.org/v2/everything?domains=history.com&amp;apiKey=7d4cb29b783f48c8a1837901e959f134</v>
      </c>
      <c r="N310" s="6">
        <v>0.0</v>
      </c>
      <c r="O310" s="6" t="s">
        <v>25</v>
      </c>
      <c r="P310" s="6"/>
      <c r="Q310" s="6">
        <v>1.0</v>
      </c>
      <c r="R310" s="6" t="s">
        <v>26</v>
      </c>
      <c r="S310" s="6" t="s">
        <v>27</v>
      </c>
      <c r="T310" s="6" t="s">
        <v>56</v>
      </c>
    </row>
    <row r="311">
      <c r="B311" s="21" t="s">
        <v>755</v>
      </c>
      <c r="C311" s="8" t="str">
        <f t="shared" si="1"/>
        <v>History.com</v>
      </c>
      <c r="D311" s="7" t="s">
        <v>20</v>
      </c>
      <c r="E311" s="7"/>
      <c r="F311" s="8" t="s">
        <v>756</v>
      </c>
      <c r="G311" s="12"/>
      <c r="H311" s="10"/>
      <c r="I311" s="10"/>
      <c r="J311" s="10"/>
      <c r="K311" s="10"/>
      <c r="L311" s="6"/>
      <c r="M311" s="7"/>
      <c r="N311" s="6">
        <v>0.0</v>
      </c>
      <c r="O311" s="6" t="s">
        <v>25</v>
      </c>
      <c r="P311" s="6"/>
      <c r="Q311" s="6">
        <v>1.0</v>
      </c>
      <c r="R311" s="6" t="s">
        <v>26</v>
      </c>
      <c r="S311" s="6" t="s">
        <v>27</v>
      </c>
      <c r="T311" s="6" t="s">
        <v>56</v>
      </c>
    </row>
    <row r="312">
      <c r="B312" s="21" t="s">
        <v>757</v>
      </c>
      <c r="C312" s="8" t="str">
        <f t="shared" si="1"/>
        <v>History.com</v>
      </c>
      <c r="D312" s="7" t="s">
        <v>20</v>
      </c>
      <c r="E312" s="7"/>
      <c r="F312" s="8" t="s">
        <v>758</v>
      </c>
      <c r="G312" s="12"/>
      <c r="H312" s="10"/>
      <c r="I312" s="10"/>
      <c r="J312" s="10"/>
      <c r="K312" s="10"/>
      <c r="L312" s="6"/>
      <c r="M312" s="7"/>
      <c r="N312" s="6">
        <v>0.0</v>
      </c>
      <c r="O312" s="6" t="s">
        <v>25</v>
      </c>
      <c r="P312" s="6"/>
      <c r="Q312" s="6">
        <v>1.0</v>
      </c>
      <c r="R312" s="6" t="s">
        <v>26</v>
      </c>
      <c r="S312" s="6" t="s">
        <v>27</v>
      </c>
      <c r="T312" s="6" t="s">
        <v>56</v>
      </c>
    </row>
    <row r="313">
      <c r="B313" s="6" t="s">
        <v>759</v>
      </c>
      <c r="C313" s="7" t="str">
        <f t="shared" si="1"/>
        <v/>
      </c>
      <c r="D313" s="7" t="s">
        <v>30</v>
      </c>
      <c r="E313" s="7"/>
      <c r="F313" s="8" t="s">
        <v>760</v>
      </c>
      <c r="G313" s="8" t="s">
        <v>761</v>
      </c>
      <c r="H313" s="9" t="str">
        <f t="shared" ref="H313:H317" si="88">LEFT(G313, LEN(G313)-1)</f>
        <v>https://honestlywtf.com</v>
      </c>
      <c r="I313" s="9" t="str">
        <f>IFERROR(__xludf.DUMMYFUNCTION("IF(REGEXMATCH(H313,""www""),RIGHT(H313,LEN(H313)-FIND(""."",H313)+0),if(regexmatch(H313,""https://""),right(H313,len(H313)-find(""/"",H313)-1),H313))"),"honestlywtf.com")</f>
        <v>honestlywtf.com</v>
      </c>
      <c r="J313" s="9" t="str">
        <f t="shared" ref="J313:J317" si="89">I313</f>
        <v>honestlywtf.com</v>
      </c>
      <c r="K313" s="9" t="s">
        <v>23</v>
      </c>
      <c r="L313" s="6" t="s">
        <v>176</v>
      </c>
      <c r="M313" s="8" t="str">
        <f t="shared" ref="M313:M317" si="90">K313&amp;J313&amp;L313</f>
        <v>https://newsapi.org/v2/everything?domains=honestlywtf.com&amp;apiKey=7d4cb29b783f48c8a1837901e959f134</v>
      </c>
      <c r="N313" s="6">
        <v>0.0</v>
      </c>
      <c r="O313" s="6" t="s">
        <v>25</v>
      </c>
      <c r="P313" s="6"/>
      <c r="Q313" s="6">
        <v>1.0</v>
      </c>
      <c r="R313" s="6" t="s">
        <v>26</v>
      </c>
      <c r="S313" s="6" t="s">
        <v>27</v>
      </c>
      <c r="T313" s="6" t="s">
        <v>67</v>
      </c>
    </row>
    <row r="314">
      <c r="B314" s="6" t="s">
        <v>762</v>
      </c>
      <c r="C314" s="7" t="str">
        <f t="shared" si="1"/>
        <v/>
      </c>
      <c r="D314" s="7" t="s">
        <v>50</v>
      </c>
      <c r="E314" s="7">
        <v>100.0</v>
      </c>
      <c r="F314" s="7"/>
      <c r="G314" s="8" t="s">
        <v>763</v>
      </c>
      <c r="H314" s="9" t="str">
        <f t="shared" si="88"/>
        <v>https://www.hrw.org</v>
      </c>
      <c r="I314" s="9" t="str">
        <f>IFERROR(__xludf.DUMMYFUNCTION("IF(REGEXMATCH(H314,""www""),RIGHT(H314,LEN(H314)-FIND(""."",H314)+0),if(regexmatch(H314,""https://""),right(H314,len(H314)-find(""/"",H314)-1),H314))"),"hrw.org")</f>
        <v>hrw.org</v>
      </c>
      <c r="J314" s="9" t="str">
        <f t="shared" si="89"/>
        <v>hrw.org</v>
      </c>
      <c r="K314" s="9" t="s">
        <v>23</v>
      </c>
      <c r="L314" s="6" t="s">
        <v>176</v>
      </c>
      <c r="M314" s="8" t="str">
        <f t="shared" si="90"/>
        <v>https://newsapi.org/v2/everything?domains=hrw.org&amp;apiKey=7d4cb29b783f48c8a1837901e959f134</v>
      </c>
      <c r="N314" s="6">
        <v>1.0</v>
      </c>
      <c r="O314" s="6" t="s">
        <v>25</v>
      </c>
      <c r="P314" s="6"/>
      <c r="Q314" s="6">
        <v>1.0</v>
      </c>
      <c r="R314" s="6" t="s">
        <v>26</v>
      </c>
      <c r="S314" s="6" t="s">
        <v>27</v>
      </c>
      <c r="T314" s="6" t="s">
        <v>241</v>
      </c>
    </row>
    <row r="315">
      <c r="B315" s="6" t="s">
        <v>764</v>
      </c>
      <c r="C315" s="7" t="str">
        <f t="shared" si="1"/>
        <v/>
      </c>
      <c r="D315" s="7" t="s">
        <v>20</v>
      </c>
      <c r="E315" s="12"/>
      <c r="F315" s="11" t="s">
        <v>765</v>
      </c>
      <c r="G315" s="11" t="s">
        <v>766</v>
      </c>
      <c r="H315" s="9" t="str">
        <f t="shared" si="88"/>
        <v>https://increment.com</v>
      </c>
      <c r="I315" s="9" t="str">
        <f>IFERROR(__xludf.DUMMYFUNCTION("IF(REGEXMATCH(H315,""www""),RIGHT(H315,LEN(H315)-FIND(""."",H315)+0),if(regexmatch(H315,""https://""),right(H315,len(H315)-find(""/"",H315)-1),H315))"),"increment.com")</f>
        <v>increment.com</v>
      </c>
      <c r="J315" s="9" t="str">
        <f t="shared" si="89"/>
        <v>increment.com</v>
      </c>
      <c r="K315" s="9" t="s">
        <v>23</v>
      </c>
      <c r="L315" s="6" t="s">
        <v>24</v>
      </c>
      <c r="M315" s="8" t="str">
        <f t="shared" si="90"/>
        <v>https://newsapi.org/v2/everything?domains=increment.com&amp;apiKey=ae2ad3e68d4e4daca149bbfb9b61c010</v>
      </c>
      <c r="N315" s="6">
        <v>1.0</v>
      </c>
      <c r="O315" s="6" t="s">
        <v>25</v>
      </c>
      <c r="P315" s="6"/>
      <c r="Q315" s="6">
        <v>1.0</v>
      </c>
      <c r="R315" s="6" t="s">
        <v>26</v>
      </c>
      <c r="S315" s="6" t="s">
        <v>27</v>
      </c>
      <c r="T315" s="6" t="s">
        <v>76</v>
      </c>
    </row>
    <row r="316">
      <c r="B316" s="6" t="s">
        <v>767</v>
      </c>
      <c r="C316" s="7" t="str">
        <f t="shared" si="1"/>
        <v/>
      </c>
      <c r="D316" s="7" t="s">
        <v>50</v>
      </c>
      <c r="E316" s="7">
        <v>100.0</v>
      </c>
      <c r="F316" s="7"/>
      <c r="G316" s="8" t="s">
        <v>768</v>
      </c>
      <c r="H316" s="9" t="str">
        <f t="shared" si="88"/>
        <v>https://indiegamesplus.com</v>
      </c>
      <c r="I316" s="9" t="str">
        <f>IFERROR(__xludf.DUMMYFUNCTION("IF(REGEXMATCH(H316,""www""),RIGHT(H316,LEN(H316)-FIND(""."",H316)+0),if(regexmatch(H316,""https://""),right(H316,len(H316)-find(""/"",H316)-1),H316))"),"indiegamesplus.com")</f>
        <v>indiegamesplus.com</v>
      </c>
      <c r="J316" s="9" t="str">
        <f t="shared" si="89"/>
        <v>indiegamesplus.com</v>
      </c>
      <c r="K316" s="9" t="s">
        <v>23</v>
      </c>
      <c r="L316" s="6" t="s">
        <v>24</v>
      </c>
      <c r="M316" s="8" t="str">
        <f t="shared" si="90"/>
        <v>https://newsapi.org/v2/everything?domains=indiegamesplus.com&amp;apiKey=ae2ad3e68d4e4daca149bbfb9b61c010</v>
      </c>
      <c r="N316" s="6">
        <v>1.0</v>
      </c>
      <c r="O316" s="6" t="s">
        <v>25</v>
      </c>
      <c r="P316" s="6"/>
      <c r="Q316" s="6">
        <v>1.0</v>
      </c>
      <c r="R316" s="6" t="s">
        <v>26</v>
      </c>
      <c r="S316" s="6" t="s">
        <v>27</v>
      </c>
      <c r="T316" s="6" t="s">
        <v>187</v>
      </c>
    </row>
    <row r="317">
      <c r="B317" s="6" t="s">
        <v>769</v>
      </c>
      <c r="C317" s="7" t="str">
        <f t="shared" si="1"/>
        <v/>
      </c>
      <c r="D317" s="7" t="s">
        <v>50</v>
      </c>
      <c r="E317" s="7">
        <v>100.0</v>
      </c>
      <c r="F317" s="7"/>
      <c r="G317" s="8" t="s">
        <v>770</v>
      </c>
      <c r="H317" s="9" t="str">
        <f t="shared" si="88"/>
        <v>https://www.indiewire.com</v>
      </c>
      <c r="I317" s="9" t="str">
        <f>IFERROR(__xludf.DUMMYFUNCTION("IF(REGEXMATCH(H317,""www""),RIGHT(H317,LEN(H317)-FIND(""."",H317)+0),if(regexmatch(H317,""https://""),right(H317,len(H317)-find(""/"",H317)-1),H317))"),"indiewire.com")</f>
        <v>indiewire.com</v>
      </c>
      <c r="J317" s="9" t="str">
        <f t="shared" si="89"/>
        <v>indiewire.com</v>
      </c>
      <c r="K317" s="9" t="s">
        <v>23</v>
      </c>
      <c r="L317" s="6" t="s">
        <v>176</v>
      </c>
      <c r="M317" s="8" t="str">
        <f t="shared" si="90"/>
        <v>https://newsapi.org/v2/everything?domains=indiewire.com&amp;apiKey=7d4cb29b783f48c8a1837901e959f134</v>
      </c>
      <c r="N317" s="6">
        <v>1.0</v>
      </c>
      <c r="O317" s="6" t="s">
        <v>25</v>
      </c>
      <c r="P317" s="6"/>
      <c r="Q317" s="6">
        <v>1.0</v>
      </c>
      <c r="R317" s="6" t="s">
        <v>26</v>
      </c>
      <c r="S317" s="6" t="s">
        <v>27</v>
      </c>
      <c r="T317" s="6" t="s">
        <v>90</v>
      </c>
    </row>
    <row r="318">
      <c r="B318" s="14" t="s">
        <v>771</v>
      </c>
      <c r="C318" s="7" t="str">
        <f t="shared" si="1"/>
        <v/>
      </c>
      <c r="D318" s="14" t="s">
        <v>20</v>
      </c>
      <c r="E318" s="17"/>
      <c r="F318" s="17" t="s">
        <v>772</v>
      </c>
      <c r="G318" s="19"/>
      <c r="H318" s="14"/>
      <c r="I318" s="14"/>
      <c r="J318" s="14"/>
      <c r="K318" s="14"/>
      <c r="L318" s="14"/>
      <c r="M318" s="14"/>
      <c r="N318" s="15">
        <v>0.0</v>
      </c>
      <c r="O318" s="14" t="s">
        <v>25</v>
      </c>
      <c r="P318" s="14"/>
      <c r="Q318" s="15">
        <v>1.0</v>
      </c>
      <c r="R318" s="6" t="s">
        <v>26</v>
      </c>
      <c r="S318" s="14" t="s">
        <v>27</v>
      </c>
      <c r="T318" s="14" t="s">
        <v>76</v>
      </c>
    </row>
    <row r="319">
      <c r="B319" s="6" t="s">
        <v>773</v>
      </c>
      <c r="C319" s="7" t="str">
        <f t="shared" si="1"/>
        <v/>
      </c>
      <c r="D319" s="7" t="s">
        <v>50</v>
      </c>
      <c r="E319" s="7">
        <v>34.0</v>
      </c>
      <c r="F319" s="7"/>
      <c r="G319" s="8" t="s">
        <v>774</v>
      </c>
      <c r="H319" s="9" t="str">
        <f>LEFT(G319, LEN(G319)-1)</f>
        <v>https://www.insiderintelligence.com</v>
      </c>
      <c r="I319" s="9" t="str">
        <f>IFERROR(__xludf.DUMMYFUNCTION("IF(REGEXMATCH(H319,""www""),RIGHT(H319,LEN(H319)-FIND(""."",H319)+0),if(regexmatch(H319,""https://""),right(H319,len(H319)-find(""/"",H319)-1),H319))"),"insiderintelligence.com")</f>
        <v>insiderintelligence.com</v>
      </c>
      <c r="J319" s="9" t="str">
        <f>I319</f>
        <v>insiderintelligence.com</v>
      </c>
      <c r="K319" s="9" t="s">
        <v>23</v>
      </c>
      <c r="L319" s="6" t="s">
        <v>176</v>
      </c>
      <c r="M319" s="8" t="str">
        <f>K319&amp;J319&amp;L319</f>
        <v>https://newsapi.org/v2/everything?domains=insiderintelligence.com&amp;apiKey=7d4cb29b783f48c8a1837901e959f134</v>
      </c>
      <c r="N319" s="6">
        <v>1.0</v>
      </c>
      <c r="O319" s="6" t="s">
        <v>25</v>
      </c>
      <c r="P319" s="6"/>
      <c r="Q319" s="6">
        <v>1.0</v>
      </c>
      <c r="R319" s="6" t="s">
        <v>26</v>
      </c>
      <c r="S319" s="6" t="s">
        <v>27</v>
      </c>
      <c r="T319" s="6" t="s">
        <v>329</v>
      </c>
    </row>
    <row r="320">
      <c r="B320" s="6" t="s">
        <v>775</v>
      </c>
      <c r="C320" s="7" t="str">
        <f t="shared" si="1"/>
        <v/>
      </c>
      <c r="D320" s="16" t="s">
        <v>20</v>
      </c>
      <c r="E320" s="12"/>
      <c r="F320" s="11" t="s">
        <v>776</v>
      </c>
      <c r="G320" s="7"/>
      <c r="M320" s="1"/>
      <c r="N320" s="6">
        <v>0.0</v>
      </c>
      <c r="O320" s="6" t="s">
        <v>43</v>
      </c>
      <c r="P320" s="6"/>
      <c r="Q320" s="6">
        <v>1.0</v>
      </c>
      <c r="R320" s="6" t="s">
        <v>26</v>
      </c>
      <c r="S320" s="6" t="s">
        <v>27</v>
      </c>
      <c r="T320" s="6" t="s">
        <v>70</v>
      </c>
    </row>
    <row r="321">
      <c r="B321" s="6" t="s">
        <v>777</v>
      </c>
      <c r="C321" s="7" t="str">
        <f t="shared" si="1"/>
        <v/>
      </c>
      <c r="D321" s="7" t="s">
        <v>20</v>
      </c>
      <c r="E321" s="1"/>
      <c r="F321" s="8" t="s">
        <v>778</v>
      </c>
      <c r="G321" s="7"/>
      <c r="M321" s="1"/>
      <c r="N321" s="6">
        <v>0.0</v>
      </c>
      <c r="O321" s="6" t="s">
        <v>25</v>
      </c>
      <c r="P321" s="6"/>
      <c r="Q321" s="6">
        <v>1.0</v>
      </c>
      <c r="R321" s="6" t="s">
        <v>26</v>
      </c>
      <c r="S321" s="6" t="s">
        <v>27</v>
      </c>
      <c r="T321" s="6" t="s">
        <v>607</v>
      </c>
    </row>
    <row r="322">
      <c r="B322" s="6" t="s">
        <v>779</v>
      </c>
      <c r="C322" s="7" t="str">
        <f t="shared" si="1"/>
        <v/>
      </c>
      <c r="D322" s="7" t="s">
        <v>20</v>
      </c>
      <c r="E322" s="12"/>
      <c r="F322" s="11" t="s">
        <v>780</v>
      </c>
      <c r="G322" s="11" t="s">
        <v>781</v>
      </c>
      <c r="H322" s="9" t="str">
        <f t="shared" ref="H322:H323" si="91">LEFT(G322, LEN(G322)-1)</f>
        <v>https://encyclopedia.1914-1918-online.net</v>
      </c>
      <c r="I322" s="9" t="str">
        <f>IFERROR(__xludf.DUMMYFUNCTION("IF(REGEXMATCH(H322,""www""),RIGHT(H322,LEN(H322)-FIND(""."",H322)+0),if(regexmatch(H322,""https://""),right(H322,len(H322)-find(""/"",H322)-1),H322))"),"encyclopedia.1914-1918-online.net")</f>
        <v>encyclopedia.1914-1918-online.net</v>
      </c>
      <c r="J322" s="9" t="str">
        <f t="shared" ref="J322:J323" si="92">I322</f>
        <v>encyclopedia.1914-1918-online.net</v>
      </c>
      <c r="K322" s="9" t="s">
        <v>23</v>
      </c>
      <c r="L322" s="6" t="s">
        <v>24</v>
      </c>
      <c r="M322" s="8" t="str">
        <f t="shared" ref="M322:M323" si="93">K322&amp;J322&amp;L322</f>
        <v>https://newsapi.org/v2/everything?domains=encyclopedia.1914-1918-online.net&amp;apiKey=ae2ad3e68d4e4daca149bbfb9b61c010</v>
      </c>
      <c r="N322" s="6">
        <v>0.0</v>
      </c>
      <c r="O322" s="6" t="s">
        <v>25</v>
      </c>
      <c r="P322" s="6"/>
      <c r="Q322" s="6">
        <v>1.0</v>
      </c>
      <c r="R322" s="6" t="s">
        <v>26</v>
      </c>
      <c r="S322" s="6" t="s">
        <v>27</v>
      </c>
      <c r="T322" s="6" t="s">
        <v>56</v>
      </c>
    </row>
    <row r="323">
      <c r="B323" s="6" t="s">
        <v>782</v>
      </c>
      <c r="C323" s="7" t="str">
        <f t="shared" si="1"/>
        <v/>
      </c>
      <c r="D323" s="7" t="s">
        <v>20</v>
      </c>
      <c r="E323" s="7"/>
      <c r="F323" s="8" t="s">
        <v>783</v>
      </c>
      <c r="G323" s="8" t="s">
        <v>784</v>
      </c>
      <c r="H323" s="9" t="str">
        <f t="shared" si="91"/>
        <v>https://iep.utm.edu</v>
      </c>
      <c r="I323" s="9" t="str">
        <f>IFERROR(__xludf.DUMMYFUNCTION("IF(REGEXMATCH(H323,""www""),RIGHT(H323,LEN(H323)-FIND(""."",H323)+0),if(regexmatch(H323,""https://""),right(H323,len(H323)-find(""/"",H323)-1),H323))"),"iep.utm.edu")</f>
        <v>iep.utm.edu</v>
      </c>
      <c r="J323" s="9" t="str">
        <f t="shared" si="92"/>
        <v>iep.utm.edu</v>
      </c>
      <c r="K323" s="9" t="s">
        <v>23</v>
      </c>
      <c r="L323" s="6" t="s">
        <v>176</v>
      </c>
      <c r="M323" s="8" t="str">
        <f t="shared" si="93"/>
        <v>https://newsapi.org/v2/everything?domains=iep.utm.edu&amp;apiKey=7d4cb29b783f48c8a1837901e959f134</v>
      </c>
      <c r="N323" s="6">
        <v>0.0</v>
      </c>
      <c r="O323" s="6" t="s">
        <v>25</v>
      </c>
      <c r="P323" s="6"/>
      <c r="Q323" s="6">
        <v>1.0</v>
      </c>
      <c r="R323" s="6" t="s">
        <v>26</v>
      </c>
      <c r="S323" s="6" t="s">
        <v>27</v>
      </c>
      <c r="T323" s="6" t="s">
        <v>28</v>
      </c>
    </row>
    <row r="324">
      <c r="B324" s="6" t="s">
        <v>785</v>
      </c>
      <c r="C324" s="7" t="str">
        <f t="shared" si="1"/>
        <v/>
      </c>
      <c r="D324" s="7" t="s">
        <v>20</v>
      </c>
      <c r="E324" s="1"/>
      <c r="F324" s="8" t="s">
        <v>786</v>
      </c>
      <c r="G324" s="1"/>
      <c r="M324" s="1"/>
      <c r="N324" s="6">
        <v>1.0</v>
      </c>
      <c r="O324" s="6" t="s">
        <v>25</v>
      </c>
      <c r="P324" s="6"/>
      <c r="Q324" s="6">
        <v>1.0</v>
      </c>
      <c r="R324" s="6" t="s">
        <v>26</v>
      </c>
      <c r="S324" s="6" t="s">
        <v>27</v>
      </c>
      <c r="T324" s="6" t="s">
        <v>28</v>
      </c>
    </row>
    <row r="325">
      <c r="B325" s="6" t="s">
        <v>787</v>
      </c>
      <c r="C325" s="7" t="str">
        <f t="shared" si="1"/>
        <v/>
      </c>
      <c r="D325" s="7" t="s">
        <v>20</v>
      </c>
      <c r="E325" s="1"/>
      <c r="F325" s="8" t="s">
        <v>788</v>
      </c>
      <c r="G325" s="1"/>
      <c r="M325" s="1"/>
      <c r="N325" s="6">
        <v>0.0</v>
      </c>
      <c r="O325" s="6" t="s">
        <v>25</v>
      </c>
      <c r="P325" s="6"/>
      <c r="Q325" s="6">
        <v>1.0</v>
      </c>
      <c r="R325" s="6" t="s">
        <v>26</v>
      </c>
      <c r="S325" s="6" t="s">
        <v>27</v>
      </c>
      <c r="T325" s="6" t="s">
        <v>145</v>
      </c>
    </row>
    <row r="326">
      <c r="B326" s="6" t="s">
        <v>789</v>
      </c>
      <c r="C326" s="7" t="str">
        <f t="shared" si="1"/>
        <v/>
      </c>
      <c r="D326" s="16" t="s">
        <v>20</v>
      </c>
      <c r="E326" s="12"/>
      <c r="F326" s="11" t="s">
        <v>790</v>
      </c>
      <c r="G326" s="7"/>
      <c r="M326" s="1"/>
      <c r="N326" s="6">
        <v>0.0</v>
      </c>
      <c r="O326" s="6" t="s">
        <v>43</v>
      </c>
      <c r="P326" s="6"/>
      <c r="Q326" s="6">
        <v>1.0</v>
      </c>
      <c r="R326" s="6" t="s">
        <v>26</v>
      </c>
      <c r="S326" s="6" t="s">
        <v>27</v>
      </c>
      <c r="T326" s="6" t="s">
        <v>56</v>
      </c>
    </row>
    <row r="327">
      <c r="B327" s="6" t="s">
        <v>791</v>
      </c>
      <c r="C327" s="7" t="str">
        <f t="shared" si="1"/>
        <v/>
      </c>
      <c r="D327" s="7" t="s">
        <v>50</v>
      </c>
      <c r="E327" s="7">
        <v>100.0</v>
      </c>
      <c r="F327" s="7"/>
      <c r="G327" s="8" t="s">
        <v>792</v>
      </c>
      <c r="H327" s="9" t="str">
        <f>LEFT(G327, LEN(G327)-1)</f>
        <v>https://www.itsnicethat.com</v>
      </c>
      <c r="I327" s="9" t="str">
        <f>IFERROR(__xludf.DUMMYFUNCTION("IF(REGEXMATCH(H327,""www""),RIGHT(H327,LEN(H327)-FIND(""."",H327)+0),if(regexmatch(H327,""https://""),right(H327,len(H327)-find(""/"",H327)-1),H327))"),"itsnicethat.com")</f>
        <v>itsnicethat.com</v>
      </c>
      <c r="J327" s="9" t="str">
        <f>I327</f>
        <v>itsnicethat.com</v>
      </c>
      <c r="K327" s="9" t="s">
        <v>23</v>
      </c>
      <c r="L327" s="6" t="s">
        <v>176</v>
      </c>
      <c r="M327" s="8" t="str">
        <f>K327&amp;J327&amp;L327</f>
        <v>https://newsapi.org/v2/everything?domains=itsnicethat.com&amp;apiKey=7d4cb29b783f48c8a1837901e959f134</v>
      </c>
      <c r="N327" s="6">
        <v>0.0</v>
      </c>
      <c r="O327" s="6" t="s">
        <v>25</v>
      </c>
      <c r="P327" s="6"/>
      <c r="Q327" s="6">
        <v>1.0</v>
      </c>
      <c r="R327" s="6" t="s">
        <v>26</v>
      </c>
      <c r="S327" s="6" t="s">
        <v>27</v>
      </c>
      <c r="T327" s="6" t="s">
        <v>52</v>
      </c>
    </row>
    <row r="328">
      <c r="B328" s="6" t="s">
        <v>793</v>
      </c>
      <c r="C328" s="7" t="str">
        <f t="shared" si="1"/>
        <v/>
      </c>
      <c r="D328" s="7" t="s">
        <v>20</v>
      </c>
      <c r="E328" s="1"/>
      <c r="F328" s="8" t="s">
        <v>794</v>
      </c>
      <c r="G328" s="1"/>
      <c r="M328" s="1"/>
      <c r="N328" s="6">
        <v>0.0</v>
      </c>
      <c r="O328" s="6" t="s">
        <v>43</v>
      </c>
      <c r="P328" s="6"/>
      <c r="Q328" s="6">
        <v>1.0</v>
      </c>
      <c r="R328" s="6" t="s">
        <v>26</v>
      </c>
      <c r="S328" s="6" t="s">
        <v>27</v>
      </c>
      <c r="T328" s="6" t="s">
        <v>32</v>
      </c>
    </row>
    <row r="329">
      <c r="B329" s="6" t="s">
        <v>795</v>
      </c>
      <c r="C329" s="7" t="str">
        <f t="shared" si="1"/>
        <v/>
      </c>
      <c r="D329" s="7" t="s">
        <v>50</v>
      </c>
      <c r="E329" s="7">
        <v>12.0</v>
      </c>
      <c r="F329" s="7"/>
      <c r="G329" s="8" t="s">
        <v>796</v>
      </c>
      <c r="H329" s="9" t="str">
        <f t="shared" ref="H329:H334" si="94">LEFT(G329, LEN(G329)-1)</f>
        <v>https://jamanetwork.com</v>
      </c>
      <c r="I329" s="9" t="str">
        <f>IFERROR(__xludf.DUMMYFUNCTION("IF(REGEXMATCH(H329,""www""),RIGHT(H329,LEN(H329)-FIND(""."",H329)+0),if(regexmatch(H329,""https://""),right(H329,len(H329)-find(""/"",H329)-1),H329))"),"jamanetwork.com")</f>
        <v>jamanetwork.com</v>
      </c>
      <c r="J329" s="9" t="str">
        <f t="shared" ref="J329:J334" si="95">I329</f>
        <v>jamanetwork.com</v>
      </c>
      <c r="K329" s="9" t="s">
        <v>23</v>
      </c>
      <c r="L329" s="6" t="s">
        <v>176</v>
      </c>
      <c r="M329" s="8" t="str">
        <f t="shared" ref="M329:M334" si="96">K329&amp;J329&amp;L329</f>
        <v>https://newsapi.org/v2/everything?domains=jamanetwork.com&amp;apiKey=7d4cb29b783f48c8a1837901e959f134</v>
      </c>
      <c r="N329" s="6">
        <v>0.0</v>
      </c>
      <c r="O329" s="6" t="s">
        <v>25</v>
      </c>
      <c r="P329" s="6"/>
      <c r="Q329" s="6">
        <v>1.0</v>
      </c>
      <c r="R329" s="6" t="s">
        <v>26</v>
      </c>
      <c r="S329" s="6" t="s">
        <v>27</v>
      </c>
      <c r="T329" s="6" t="s">
        <v>101</v>
      </c>
    </row>
    <row r="330">
      <c r="B330" s="6" t="s">
        <v>797</v>
      </c>
      <c r="C330" s="7" t="str">
        <f t="shared" si="1"/>
        <v/>
      </c>
      <c r="D330" s="7" t="s">
        <v>50</v>
      </c>
      <c r="E330" s="7">
        <v>10.0</v>
      </c>
      <c r="F330" s="7"/>
      <c r="G330" s="8" t="s">
        <v>798</v>
      </c>
      <c r="H330" s="9" t="str">
        <f t="shared" si="94"/>
        <v>https://www.japancamerahunter.com</v>
      </c>
      <c r="I330" s="9" t="str">
        <f>IFERROR(__xludf.DUMMYFUNCTION("IF(REGEXMATCH(H330,""www""),RIGHT(H330,LEN(H330)-FIND(""."",H330)+0),if(regexmatch(H330,""https://""),right(H330,len(H330)-find(""/"",H330)-1),H330))"),"japancamerahunter.com")</f>
        <v>japancamerahunter.com</v>
      </c>
      <c r="J330" s="9" t="str">
        <f t="shared" si="95"/>
        <v>japancamerahunter.com</v>
      </c>
      <c r="K330" s="9" t="s">
        <v>23</v>
      </c>
      <c r="L330" s="6" t="s">
        <v>176</v>
      </c>
      <c r="M330" s="8" t="str">
        <f t="shared" si="96"/>
        <v>https://newsapi.org/v2/everything?domains=japancamerahunter.com&amp;apiKey=7d4cb29b783f48c8a1837901e959f134</v>
      </c>
      <c r="N330" s="6">
        <v>0.0</v>
      </c>
      <c r="O330" s="6" t="s">
        <v>25</v>
      </c>
      <c r="P330" s="6"/>
      <c r="Q330" s="6">
        <v>1.0</v>
      </c>
      <c r="R330" s="6" t="s">
        <v>26</v>
      </c>
      <c r="S330" s="6" t="s">
        <v>27</v>
      </c>
      <c r="T330" s="6" t="s">
        <v>333</v>
      </c>
    </row>
    <row r="331">
      <c r="B331" s="6" t="s">
        <v>799</v>
      </c>
      <c r="C331" s="7" t="str">
        <f t="shared" si="1"/>
        <v/>
      </c>
      <c r="D331" s="7" t="s">
        <v>20</v>
      </c>
      <c r="E331" s="12"/>
      <c r="F331" s="11" t="s">
        <v>800</v>
      </c>
      <c r="G331" s="11" t="s">
        <v>801</v>
      </c>
      <c r="H331" s="9" t="str">
        <f t="shared" si="94"/>
        <v>http://www.jesperjuul.net</v>
      </c>
      <c r="I331" s="9" t="str">
        <f>IFERROR(__xludf.DUMMYFUNCTION("IF(REGEXMATCH(H331,""www""),RIGHT(H331,LEN(H331)-FIND(""."",H331)+0),if(regexmatch(H331,""https://""),right(H331,len(H331)-find(""/"",H331)-1),H331))"),"jesperjuul.net")</f>
        <v>jesperjuul.net</v>
      </c>
      <c r="J331" s="9" t="str">
        <f t="shared" si="95"/>
        <v>jesperjuul.net</v>
      </c>
      <c r="K331" s="9" t="s">
        <v>23</v>
      </c>
      <c r="L331" s="6" t="s">
        <v>176</v>
      </c>
      <c r="M331" s="8" t="str">
        <f t="shared" si="96"/>
        <v>https://newsapi.org/v2/everything?domains=jesperjuul.net&amp;apiKey=7d4cb29b783f48c8a1837901e959f134</v>
      </c>
      <c r="N331" s="6">
        <v>0.0</v>
      </c>
      <c r="O331" s="6" t="s">
        <v>39</v>
      </c>
      <c r="P331" s="6"/>
      <c r="Q331" s="6">
        <v>1.0</v>
      </c>
      <c r="R331" s="6" t="s">
        <v>26</v>
      </c>
      <c r="S331" s="6" t="s">
        <v>27</v>
      </c>
      <c r="T331" s="6" t="s">
        <v>187</v>
      </c>
    </row>
    <row r="332">
      <c r="B332" s="6" t="s">
        <v>802</v>
      </c>
      <c r="C332" s="7" t="str">
        <f t="shared" si="1"/>
        <v/>
      </c>
      <c r="D332" s="7" t="s">
        <v>20</v>
      </c>
      <c r="E332" s="7"/>
      <c r="F332" s="8" t="s">
        <v>803</v>
      </c>
      <c r="G332" s="8" t="s">
        <v>804</v>
      </c>
      <c r="H332" s="9" t="str">
        <f t="shared" si="94"/>
        <v>https://blog.jim-nielsen.com</v>
      </c>
      <c r="I332" s="9" t="str">
        <f>IFERROR(__xludf.DUMMYFUNCTION("IF(REGEXMATCH(H332,""www""),RIGHT(H332,LEN(H332)-FIND(""."",H332)+0),if(regexmatch(H332,""https://""),right(H332,len(H332)-find(""/"",H332)-1),H332))"),"blog.jim-nielsen.com")</f>
        <v>blog.jim-nielsen.com</v>
      </c>
      <c r="J332" s="9" t="str">
        <f t="shared" si="95"/>
        <v>blog.jim-nielsen.com</v>
      </c>
      <c r="K332" s="9" t="s">
        <v>23</v>
      </c>
      <c r="L332" s="6" t="s">
        <v>176</v>
      </c>
      <c r="M332" s="8" t="str">
        <f t="shared" si="96"/>
        <v>https://newsapi.org/v2/everything?domains=blog.jim-nielsen.com&amp;apiKey=7d4cb29b783f48c8a1837901e959f134</v>
      </c>
      <c r="N332" s="6">
        <v>0.0</v>
      </c>
      <c r="O332" s="6" t="s">
        <v>39</v>
      </c>
      <c r="P332" s="6"/>
      <c r="Q332" s="6">
        <v>1.0</v>
      </c>
      <c r="R332" s="6" t="s">
        <v>26</v>
      </c>
      <c r="S332" s="6" t="s">
        <v>27</v>
      </c>
      <c r="T332" s="6" t="s">
        <v>76</v>
      </c>
    </row>
    <row r="333">
      <c r="B333" s="6" t="s">
        <v>805</v>
      </c>
      <c r="C333" s="7" t="str">
        <f t="shared" si="1"/>
        <v/>
      </c>
      <c r="D333" s="7" t="s">
        <v>20</v>
      </c>
      <c r="E333" s="7"/>
      <c r="F333" s="8" t="s">
        <v>806</v>
      </c>
      <c r="G333" s="8" t="s">
        <v>807</v>
      </c>
      <c r="H333" s="9" t="str">
        <f t="shared" si="94"/>
        <v>https://jonathanrosenbaum.net</v>
      </c>
      <c r="I333" s="9" t="str">
        <f>IFERROR(__xludf.DUMMYFUNCTION("IF(REGEXMATCH(H333,""www""),RIGHT(H333,LEN(H333)-FIND(""."",H333)+0),if(regexmatch(H333,""https://""),right(H333,len(H333)-find(""/"",H333)-1),H333))"),"jonathanrosenbaum.net")</f>
        <v>jonathanrosenbaum.net</v>
      </c>
      <c r="J333" s="9" t="str">
        <f t="shared" si="95"/>
        <v>jonathanrosenbaum.net</v>
      </c>
      <c r="K333" s="9" t="s">
        <v>23</v>
      </c>
      <c r="L333" s="6" t="s">
        <v>176</v>
      </c>
      <c r="M333" s="8" t="str">
        <f t="shared" si="96"/>
        <v>https://newsapi.org/v2/everything?domains=jonathanrosenbaum.net&amp;apiKey=7d4cb29b783f48c8a1837901e959f134</v>
      </c>
      <c r="N333" s="6">
        <v>0.0</v>
      </c>
      <c r="O333" s="6" t="s">
        <v>39</v>
      </c>
      <c r="P333" s="6"/>
      <c r="Q333" s="6">
        <v>1.0</v>
      </c>
      <c r="R333" s="6" t="s">
        <v>26</v>
      </c>
      <c r="S333" s="6" t="s">
        <v>27</v>
      </c>
      <c r="T333" s="6" t="s">
        <v>90</v>
      </c>
    </row>
    <row r="334">
      <c r="B334" s="6" t="s">
        <v>808</v>
      </c>
      <c r="C334" s="7" t="str">
        <f t="shared" si="1"/>
        <v/>
      </c>
      <c r="D334" s="7" t="s">
        <v>20</v>
      </c>
      <c r="E334" s="12"/>
      <c r="F334" s="11" t="s">
        <v>809</v>
      </c>
      <c r="G334" s="11" t="s">
        <v>810</v>
      </c>
      <c r="H334" s="9" t="str">
        <f t="shared" si="94"/>
        <v>https://www.joelonsoftware.com</v>
      </c>
      <c r="I334" s="9" t="str">
        <f>IFERROR(__xludf.DUMMYFUNCTION("IF(REGEXMATCH(H334,""www""),RIGHT(H334,LEN(H334)-FIND(""."",H334)+0),if(regexmatch(H334,""https://""),right(H334,len(H334)-find(""/"",H334)-1),H334))"),"joelonsoftware.com")</f>
        <v>joelonsoftware.com</v>
      </c>
      <c r="J334" s="9" t="str">
        <f t="shared" si="95"/>
        <v>joelonsoftware.com</v>
      </c>
      <c r="K334" s="9" t="s">
        <v>23</v>
      </c>
      <c r="L334" s="6" t="s">
        <v>24</v>
      </c>
      <c r="M334" s="8" t="str">
        <f t="shared" si="96"/>
        <v>https://newsapi.org/v2/everything?domains=joelonsoftware.com&amp;apiKey=ae2ad3e68d4e4daca149bbfb9b61c010</v>
      </c>
      <c r="N334" s="6">
        <v>0.0</v>
      </c>
      <c r="O334" s="6" t="s">
        <v>39</v>
      </c>
      <c r="P334" s="6"/>
      <c r="Q334" s="6">
        <v>1.0</v>
      </c>
      <c r="R334" s="6" t="s">
        <v>26</v>
      </c>
      <c r="S334" s="6" t="s">
        <v>27</v>
      </c>
      <c r="T334" s="6" t="s">
        <v>145</v>
      </c>
    </row>
    <row r="335">
      <c r="B335" s="6" t="s">
        <v>811</v>
      </c>
      <c r="C335" s="7" t="str">
        <f t="shared" si="1"/>
        <v/>
      </c>
      <c r="D335" s="7" t="s">
        <v>20</v>
      </c>
      <c r="E335" s="1"/>
      <c r="F335" s="8" t="s">
        <v>812</v>
      </c>
      <c r="G335" s="1"/>
      <c r="M335" s="1"/>
      <c r="N335" s="6">
        <v>0.0</v>
      </c>
      <c r="O335" s="6" t="s">
        <v>25</v>
      </c>
      <c r="P335" s="6"/>
      <c r="Q335" s="6">
        <v>1.0</v>
      </c>
      <c r="R335" s="6" t="s">
        <v>26</v>
      </c>
      <c r="S335" s="6" t="s">
        <v>27</v>
      </c>
      <c r="T335" s="6" t="s">
        <v>76</v>
      </c>
    </row>
    <row r="336">
      <c r="B336" s="6" t="s">
        <v>813</v>
      </c>
      <c r="C336" s="7" t="str">
        <f t="shared" si="1"/>
        <v/>
      </c>
      <c r="D336" s="16" t="s">
        <v>20</v>
      </c>
      <c r="E336" s="12"/>
      <c r="F336" s="11" t="s">
        <v>814</v>
      </c>
      <c r="G336" s="7"/>
      <c r="M336" s="1"/>
      <c r="N336" s="6">
        <v>0.0</v>
      </c>
      <c r="O336" s="6" t="s">
        <v>43</v>
      </c>
      <c r="P336" s="6"/>
      <c r="Q336" s="6">
        <v>1.0</v>
      </c>
      <c r="R336" s="6" t="s">
        <v>26</v>
      </c>
      <c r="S336" s="6" t="s">
        <v>27</v>
      </c>
      <c r="T336" s="6" t="s">
        <v>245</v>
      </c>
    </row>
    <row r="337">
      <c r="B337" s="6" t="s">
        <v>815</v>
      </c>
      <c r="C337" s="7" t="str">
        <f t="shared" si="1"/>
        <v/>
      </c>
      <c r="D337" s="7" t="s">
        <v>20</v>
      </c>
      <c r="E337" s="1"/>
      <c r="F337" s="8" t="s">
        <v>816</v>
      </c>
      <c r="G337" s="1"/>
      <c r="M337" s="1"/>
      <c r="N337" s="6">
        <v>1.0</v>
      </c>
      <c r="O337" s="6" t="s">
        <v>25</v>
      </c>
      <c r="P337" s="6"/>
      <c r="Q337" s="6">
        <v>1.0</v>
      </c>
      <c r="R337" s="6" t="s">
        <v>26</v>
      </c>
      <c r="S337" s="6" t="s">
        <v>27</v>
      </c>
      <c r="T337" s="6" t="s">
        <v>67</v>
      </c>
    </row>
    <row r="338">
      <c r="B338" s="6" t="s">
        <v>817</v>
      </c>
      <c r="C338" s="7" t="str">
        <f t="shared" si="1"/>
        <v/>
      </c>
      <c r="D338" s="7" t="s">
        <v>50</v>
      </c>
      <c r="E338" s="7">
        <v>100.0</v>
      </c>
      <c r="F338" s="7"/>
      <c r="G338" s="8" t="s">
        <v>818</v>
      </c>
      <c r="H338" s="9" t="str">
        <f t="shared" ref="H338:H339" si="97">LEFT(G338, LEN(G338)-1)</f>
        <v>https://kotaku.com</v>
      </c>
      <c r="I338" s="9" t="str">
        <f>IFERROR(__xludf.DUMMYFUNCTION("IF(REGEXMATCH(H338,""www""),RIGHT(H338,LEN(H338)-FIND(""."",H338)+0),if(regexmatch(H338,""https://""),right(H338,len(H338)-find(""/"",H338)-1),H338))"),"kotaku.com")</f>
        <v>kotaku.com</v>
      </c>
      <c r="J338" s="9" t="str">
        <f t="shared" ref="J338:J339" si="98">I338</f>
        <v>kotaku.com</v>
      </c>
      <c r="K338" s="9" t="s">
        <v>23</v>
      </c>
      <c r="L338" s="6" t="s">
        <v>176</v>
      </c>
      <c r="M338" s="8" t="str">
        <f t="shared" ref="M338:M339" si="99">K338&amp;J338&amp;L338</f>
        <v>https://newsapi.org/v2/everything?domains=kotaku.com&amp;apiKey=7d4cb29b783f48c8a1837901e959f134</v>
      </c>
      <c r="N338" s="6">
        <v>1.0</v>
      </c>
      <c r="O338" s="6" t="s">
        <v>25</v>
      </c>
      <c r="P338" s="6"/>
      <c r="Q338" s="6">
        <v>1.0</v>
      </c>
      <c r="R338" s="6" t="s">
        <v>26</v>
      </c>
      <c r="S338" s="6" t="s">
        <v>27</v>
      </c>
      <c r="T338" s="6" t="s">
        <v>187</v>
      </c>
    </row>
    <row r="339">
      <c r="B339" s="6" t="s">
        <v>819</v>
      </c>
      <c r="C339" s="7" t="str">
        <f t="shared" si="1"/>
        <v/>
      </c>
      <c r="D339" s="7" t="s">
        <v>30</v>
      </c>
      <c r="E339" s="7"/>
      <c r="F339" s="8" t="s">
        <v>820</v>
      </c>
      <c r="G339" s="8" t="s">
        <v>821</v>
      </c>
      <c r="H339" s="9" t="str">
        <f t="shared" si="97"/>
        <v>https://www.lofficielusa.com</v>
      </c>
      <c r="I339" s="9" t="str">
        <f>IFERROR(__xludf.DUMMYFUNCTION("IF(REGEXMATCH(H339,""www""),RIGHT(H339,LEN(H339)-FIND(""."",H339)+0),if(regexmatch(H339,""https://""),right(H339,len(H339)-find(""/"",H339)-1),H339))"),"lofficielusa.com")</f>
        <v>lofficielusa.com</v>
      </c>
      <c r="J339" s="9" t="str">
        <f t="shared" si="98"/>
        <v>lofficielusa.com</v>
      </c>
      <c r="K339" s="9" t="s">
        <v>23</v>
      </c>
      <c r="L339" s="6" t="s">
        <v>176</v>
      </c>
      <c r="M339" s="8" t="str">
        <f t="shared" si="99"/>
        <v>https://newsapi.org/v2/everything?domains=lofficielusa.com&amp;apiKey=7d4cb29b783f48c8a1837901e959f134</v>
      </c>
      <c r="N339" s="6">
        <v>1.0</v>
      </c>
      <c r="O339" s="6" t="s">
        <v>25</v>
      </c>
      <c r="P339" s="6"/>
      <c r="Q339" s="6">
        <v>1.0</v>
      </c>
      <c r="R339" s="6" t="s">
        <v>26</v>
      </c>
      <c r="S339" s="6" t="s">
        <v>27</v>
      </c>
      <c r="T339" s="6" t="s">
        <v>285</v>
      </c>
    </row>
    <row r="340">
      <c r="B340" s="6" t="s">
        <v>822</v>
      </c>
      <c r="C340" s="7" t="str">
        <f t="shared" si="1"/>
        <v/>
      </c>
      <c r="D340" s="16" t="s">
        <v>20</v>
      </c>
      <c r="E340" s="12"/>
      <c r="F340" s="11" t="s">
        <v>823</v>
      </c>
      <c r="G340" s="7"/>
      <c r="M340" s="1"/>
      <c r="N340" s="6">
        <v>0.0</v>
      </c>
      <c r="O340" s="6" t="s">
        <v>43</v>
      </c>
      <c r="P340" s="6"/>
      <c r="Q340" s="6">
        <v>1.0</v>
      </c>
      <c r="R340" s="6" t="s">
        <v>26</v>
      </c>
      <c r="S340" s="6" t="s">
        <v>27</v>
      </c>
      <c r="T340" s="6" t="s">
        <v>44</v>
      </c>
    </row>
    <row r="341">
      <c r="B341" s="6" t="s">
        <v>824</v>
      </c>
      <c r="C341" s="7" t="str">
        <f t="shared" si="1"/>
        <v/>
      </c>
      <c r="D341" s="7" t="s">
        <v>30</v>
      </c>
      <c r="E341" s="8" t="s">
        <v>825</v>
      </c>
      <c r="F341" s="7"/>
      <c r="G341" s="8" t="s">
        <v>826</v>
      </c>
      <c r="H341" s="9" t="str">
        <f t="shared" ref="H341:H346" si="100">LEFT(G341, LEN(G341)-1)</f>
        <v>https://www.labroots.com</v>
      </c>
      <c r="I341" s="9" t="str">
        <f>IFERROR(__xludf.DUMMYFUNCTION("IF(REGEXMATCH(H341,""www""),RIGHT(H341,LEN(H341)-FIND(""."",H341)+0),if(regexmatch(H341,""https://""),right(H341,len(H341)-find(""/"",H341)-1),H341))"),"labroots.com")</f>
        <v>labroots.com</v>
      </c>
      <c r="J341" s="9" t="str">
        <f t="shared" ref="J341:J346" si="101">I341</f>
        <v>labroots.com</v>
      </c>
      <c r="K341" s="9" t="s">
        <v>23</v>
      </c>
      <c r="L341" s="6" t="s">
        <v>176</v>
      </c>
      <c r="M341" s="8" t="str">
        <f t="shared" ref="M341:M346" si="102">K341&amp;J341&amp;L341</f>
        <v>https://newsapi.org/v2/everything?domains=labroots.com&amp;apiKey=7d4cb29b783f48c8a1837901e959f134</v>
      </c>
      <c r="N341" s="6">
        <v>1.0</v>
      </c>
      <c r="O341" s="6" t="s">
        <v>25</v>
      </c>
      <c r="P341" s="6"/>
      <c r="Q341" s="6">
        <v>1.0</v>
      </c>
      <c r="R341" s="6" t="s">
        <v>26</v>
      </c>
      <c r="S341" s="6" t="s">
        <v>27</v>
      </c>
      <c r="T341" s="6" t="s">
        <v>101</v>
      </c>
    </row>
    <row r="342">
      <c r="B342" s="6" t="s">
        <v>827</v>
      </c>
      <c r="C342" s="7" t="str">
        <f t="shared" si="1"/>
        <v/>
      </c>
      <c r="D342" s="7" t="s">
        <v>20</v>
      </c>
      <c r="E342" s="11" t="s">
        <v>828</v>
      </c>
      <c r="F342" s="12"/>
      <c r="G342" s="11" t="s">
        <v>829</v>
      </c>
      <c r="H342" s="9" t="str">
        <f t="shared" si="100"/>
        <v>https://languagelog.ldc.upenn.edu</v>
      </c>
      <c r="I342" s="9" t="str">
        <f>IFERROR(__xludf.DUMMYFUNCTION("IF(REGEXMATCH(H342,""www""),RIGHT(H342,LEN(H342)-FIND(""."",H342)+0),if(regexmatch(H342,""https://""),right(H342,len(H342)-find(""/"",H342)-1),H342))"),"languagelog.ldc.upenn.edu")</f>
        <v>languagelog.ldc.upenn.edu</v>
      </c>
      <c r="J342" s="9" t="str">
        <f t="shared" si="101"/>
        <v>languagelog.ldc.upenn.edu</v>
      </c>
      <c r="K342" s="9" t="s">
        <v>23</v>
      </c>
      <c r="L342" s="6" t="s">
        <v>176</v>
      </c>
      <c r="M342" s="8" t="str">
        <f t="shared" si="102"/>
        <v>https://newsapi.org/v2/everything?domains=languagelog.ldc.upenn.edu&amp;apiKey=7d4cb29b783f48c8a1837901e959f134</v>
      </c>
      <c r="N342" s="6">
        <v>0.0</v>
      </c>
      <c r="O342" s="6" t="s">
        <v>39</v>
      </c>
      <c r="P342" s="6"/>
      <c r="Q342" s="6">
        <v>1.0</v>
      </c>
      <c r="R342" s="6" t="s">
        <v>26</v>
      </c>
      <c r="S342" s="6" t="s">
        <v>27</v>
      </c>
      <c r="T342" s="6" t="s">
        <v>104</v>
      </c>
    </row>
    <row r="343">
      <c r="B343" s="6" t="s">
        <v>830</v>
      </c>
      <c r="C343" s="7" t="str">
        <f t="shared" si="1"/>
        <v/>
      </c>
      <c r="D343" s="7" t="s">
        <v>50</v>
      </c>
      <c r="E343" s="12">
        <v>7.0</v>
      </c>
      <c r="F343" s="12"/>
      <c r="G343" s="11" t="s">
        <v>831</v>
      </c>
      <c r="H343" s="9" t="str">
        <f t="shared" si="100"/>
        <v>https://www.laphamsquarterly.org</v>
      </c>
      <c r="I343" s="9" t="str">
        <f>IFERROR(__xludf.DUMMYFUNCTION("IF(REGEXMATCH(H343,""www""),RIGHT(H343,LEN(H343)-FIND(""."",H343)+0),if(regexmatch(H343,""https://""),right(H343,len(H343)-find(""/"",H343)-1),H343))"),"laphamsquarterly.org")</f>
        <v>laphamsquarterly.org</v>
      </c>
      <c r="J343" s="9" t="str">
        <f t="shared" si="101"/>
        <v>laphamsquarterly.org</v>
      </c>
      <c r="K343" s="9" t="s">
        <v>23</v>
      </c>
      <c r="L343" s="6" t="s">
        <v>176</v>
      </c>
      <c r="M343" s="8" t="str">
        <f t="shared" si="102"/>
        <v>https://newsapi.org/v2/everything?domains=laphamsquarterly.org&amp;apiKey=7d4cb29b783f48c8a1837901e959f134</v>
      </c>
      <c r="N343" s="6">
        <v>0.0</v>
      </c>
      <c r="O343" s="6" t="s">
        <v>25</v>
      </c>
      <c r="P343" s="6"/>
      <c r="Q343" s="6">
        <v>1.0</v>
      </c>
      <c r="R343" s="6" t="s">
        <v>26</v>
      </c>
      <c r="S343" s="6" t="s">
        <v>27</v>
      </c>
      <c r="T343" s="6" t="s">
        <v>56</v>
      </c>
    </row>
    <row r="344">
      <c r="B344" s="6" t="s">
        <v>832</v>
      </c>
      <c r="C344" s="7" t="str">
        <f t="shared" si="1"/>
        <v/>
      </c>
      <c r="D344" s="7" t="s">
        <v>20</v>
      </c>
      <c r="E344" s="7"/>
      <c r="F344" s="8" t="s">
        <v>833</v>
      </c>
      <c r="G344" s="8" t="s">
        <v>834</v>
      </c>
      <c r="H344" s="9" t="str">
        <f t="shared" si="100"/>
        <v>https://www.leidenmedievalistsblog.nl</v>
      </c>
      <c r="I344" s="9" t="str">
        <f>IFERROR(__xludf.DUMMYFUNCTION("IF(REGEXMATCH(H344,""www""),RIGHT(H344,LEN(H344)-FIND(""."",H344)+0),if(regexmatch(H344,""https://""),right(H344,len(H344)-find(""/"",H344)-1),H344))"),"leidenmedievalistsblog.nl")</f>
        <v>leidenmedievalistsblog.nl</v>
      </c>
      <c r="J344" s="9" t="str">
        <f t="shared" si="101"/>
        <v>leidenmedievalistsblog.nl</v>
      </c>
      <c r="K344" s="9" t="s">
        <v>23</v>
      </c>
      <c r="L344" s="6" t="s">
        <v>176</v>
      </c>
      <c r="M344" s="8" t="str">
        <f t="shared" si="102"/>
        <v>https://newsapi.org/v2/everything?domains=leidenmedievalistsblog.nl&amp;apiKey=7d4cb29b783f48c8a1837901e959f134</v>
      </c>
      <c r="N344" s="6">
        <v>0.0</v>
      </c>
      <c r="O344" s="6" t="s">
        <v>39</v>
      </c>
      <c r="P344" s="6"/>
      <c r="Q344" s="6">
        <v>1.0</v>
      </c>
      <c r="R344" s="6" t="s">
        <v>26</v>
      </c>
      <c r="S344" s="6" t="s">
        <v>27</v>
      </c>
      <c r="T344" s="6" t="s">
        <v>56</v>
      </c>
    </row>
    <row r="345">
      <c r="B345" s="6" t="s">
        <v>835</v>
      </c>
      <c r="C345" s="7" t="str">
        <f t="shared" si="1"/>
        <v/>
      </c>
      <c r="D345" s="7" t="s">
        <v>50</v>
      </c>
      <c r="E345" s="7">
        <v>100.0</v>
      </c>
      <c r="F345" s="7"/>
      <c r="G345" s="8" t="s">
        <v>836</v>
      </c>
      <c r="H345" s="9" t="str">
        <f t="shared" si="100"/>
        <v>https://www.lesswrong.com</v>
      </c>
      <c r="I345" s="9" t="str">
        <f>IFERROR(__xludf.DUMMYFUNCTION("IF(REGEXMATCH(H345,""www""),RIGHT(H345,LEN(H345)-FIND(""."",H345)+0),if(regexmatch(H345,""https://""),right(H345,len(H345)-find(""/"",H345)-1),H345))"),"lesswrong.com")</f>
        <v>lesswrong.com</v>
      </c>
      <c r="J345" s="9" t="str">
        <f t="shared" si="101"/>
        <v>lesswrong.com</v>
      </c>
      <c r="K345" s="9" t="s">
        <v>23</v>
      </c>
      <c r="L345" s="6" t="s">
        <v>24</v>
      </c>
      <c r="M345" s="8" t="str">
        <f t="shared" si="102"/>
        <v>https://newsapi.org/v2/everything?domains=lesswrong.com&amp;apiKey=ae2ad3e68d4e4daca149bbfb9b61c010</v>
      </c>
      <c r="N345" s="6">
        <v>0.0</v>
      </c>
      <c r="O345" s="6" t="s">
        <v>39</v>
      </c>
      <c r="P345" s="6"/>
      <c r="Q345" s="6">
        <v>1.0</v>
      </c>
      <c r="R345" s="6" t="s">
        <v>26</v>
      </c>
      <c r="S345" s="6" t="s">
        <v>27</v>
      </c>
      <c r="T345" s="6" t="s">
        <v>76</v>
      </c>
    </row>
    <row r="346">
      <c r="B346" s="6" t="s">
        <v>837</v>
      </c>
      <c r="C346" s="7" t="str">
        <f t="shared" si="1"/>
        <v/>
      </c>
      <c r="D346" s="7" t="s">
        <v>20</v>
      </c>
      <c r="E346" s="7"/>
      <c r="F346" s="8" t="s">
        <v>838</v>
      </c>
      <c r="G346" s="8" t="s">
        <v>839</v>
      </c>
      <c r="H346" s="9" t="str">
        <f t="shared" si="100"/>
        <v>https://lettersofnote.com</v>
      </c>
      <c r="I346" s="9" t="str">
        <f>IFERROR(__xludf.DUMMYFUNCTION("IF(REGEXMATCH(H346,""www""),RIGHT(H346,LEN(H346)-FIND(""."",H346)+0),if(regexmatch(H346,""https://""),right(H346,len(H346)-find(""/"",H346)-1),H346))"),"lettersofnote.com")</f>
        <v>lettersofnote.com</v>
      </c>
      <c r="J346" s="9" t="str">
        <f t="shared" si="101"/>
        <v>lettersofnote.com</v>
      </c>
      <c r="K346" s="9" t="s">
        <v>23</v>
      </c>
      <c r="L346" s="6" t="s">
        <v>176</v>
      </c>
      <c r="M346" s="8" t="str">
        <f t="shared" si="102"/>
        <v>https://newsapi.org/v2/everything?domains=lettersofnote.com&amp;apiKey=7d4cb29b783f48c8a1837901e959f134</v>
      </c>
      <c r="N346" s="6">
        <v>0.0</v>
      </c>
      <c r="O346" s="6" t="s">
        <v>39</v>
      </c>
      <c r="P346" s="6"/>
      <c r="Q346" s="6">
        <v>1.0</v>
      </c>
      <c r="R346" s="6" t="s">
        <v>26</v>
      </c>
      <c r="S346" s="6" t="s">
        <v>27</v>
      </c>
      <c r="T346" s="6" t="s">
        <v>70</v>
      </c>
    </row>
    <row r="347">
      <c r="B347" s="6" t="s">
        <v>840</v>
      </c>
      <c r="C347" s="7" t="str">
        <f t="shared" si="1"/>
        <v>Library of Congress</v>
      </c>
      <c r="D347" s="6" t="s">
        <v>30</v>
      </c>
      <c r="E347" s="7"/>
      <c r="F347" s="8" t="s">
        <v>841</v>
      </c>
      <c r="G347" s="7"/>
      <c r="H347" s="10"/>
      <c r="I347" s="10"/>
      <c r="J347" s="10"/>
      <c r="K347" s="10"/>
      <c r="L347" s="6"/>
      <c r="M347" s="7"/>
      <c r="N347" s="6">
        <v>0.0</v>
      </c>
      <c r="O347" s="6" t="s">
        <v>25</v>
      </c>
      <c r="P347" s="6"/>
      <c r="Q347" s="6">
        <v>1.0</v>
      </c>
      <c r="R347" s="6" t="s">
        <v>26</v>
      </c>
      <c r="S347" s="6" t="s">
        <v>27</v>
      </c>
      <c r="T347" s="6" t="s">
        <v>56</v>
      </c>
    </row>
    <row r="348">
      <c r="B348" s="6" t="s">
        <v>842</v>
      </c>
      <c r="C348" s="7" t="str">
        <f t="shared" si="1"/>
        <v>Library of Congress</v>
      </c>
      <c r="D348" s="6" t="s">
        <v>30</v>
      </c>
      <c r="E348" s="7"/>
      <c r="F348" s="8" t="s">
        <v>843</v>
      </c>
      <c r="G348" s="7"/>
      <c r="H348" s="10"/>
      <c r="I348" s="10"/>
      <c r="J348" s="10"/>
      <c r="K348" s="10"/>
      <c r="L348" s="6"/>
      <c r="M348" s="7"/>
      <c r="N348" s="6">
        <v>0.0</v>
      </c>
      <c r="O348" s="6" t="s">
        <v>25</v>
      </c>
      <c r="P348" s="6"/>
      <c r="Q348" s="6">
        <v>1.0</v>
      </c>
      <c r="R348" s="6" t="s">
        <v>26</v>
      </c>
      <c r="S348" s="6" t="s">
        <v>27</v>
      </c>
      <c r="T348" s="6" t="s">
        <v>56</v>
      </c>
    </row>
    <row r="349">
      <c r="B349" s="6" t="s">
        <v>844</v>
      </c>
      <c r="C349" s="7" t="str">
        <f t="shared" si="1"/>
        <v>Library of Congress</v>
      </c>
      <c r="D349" s="6" t="s">
        <v>30</v>
      </c>
      <c r="E349" s="7"/>
      <c r="F349" s="8" t="s">
        <v>845</v>
      </c>
      <c r="G349" s="7"/>
      <c r="H349" s="10"/>
      <c r="I349" s="10"/>
      <c r="J349" s="10"/>
      <c r="K349" s="10"/>
      <c r="L349" s="6"/>
      <c r="M349" s="7"/>
      <c r="N349" s="6">
        <v>0.0</v>
      </c>
      <c r="O349" s="6" t="s">
        <v>25</v>
      </c>
      <c r="P349" s="6"/>
      <c r="Q349" s="6">
        <v>1.0</v>
      </c>
      <c r="R349" s="6" t="s">
        <v>26</v>
      </c>
      <c r="S349" s="6" t="s">
        <v>27</v>
      </c>
      <c r="T349" s="6" t="s">
        <v>56</v>
      </c>
    </row>
    <row r="350">
      <c r="B350" s="6" t="s">
        <v>846</v>
      </c>
      <c r="C350" s="7" t="str">
        <f t="shared" si="1"/>
        <v>Library of Congress</v>
      </c>
      <c r="D350" s="6" t="s">
        <v>30</v>
      </c>
      <c r="E350" s="7"/>
      <c r="F350" s="8" t="s">
        <v>847</v>
      </c>
      <c r="G350" s="7"/>
      <c r="H350" s="10"/>
      <c r="I350" s="10"/>
      <c r="J350" s="10"/>
      <c r="K350" s="10"/>
      <c r="L350" s="6"/>
      <c r="M350" s="7"/>
      <c r="N350" s="6">
        <v>0.0</v>
      </c>
      <c r="O350" s="6" t="s">
        <v>25</v>
      </c>
      <c r="P350" s="6"/>
      <c r="Q350" s="6">
        <v>1.0</v>
      </c>
      <c r="R350" s="6" t="s">
        <v>26</v>
      </c>
      <c r="S350" s="6" t="s">
        <v>27</v>
      </c>
      <c r="T350" s="6" t="s">
        <v>56</v>
      </c>
    </row>
    <row r="351">
      <c r="B351" s="6" t="s">
        <v>848</v>
      </c>
      <c r="C351" s="7" t="str">
        <f t="shared" si="1"/>
        <v>Library of Congress</v>
      </c>
      <c r="D351" s="6" t="s">
        <v>30</v>
      </c>
      <c r="E351" s="7"/>
      <c r="F351" s="8" t="s">
        <v>849</v>
      </c>
      <c r="G351" s="7"/>
      <c r="H351" s="10"/>
      <c r="I351" s="10"/>
      <c r="J351" s="10"/>
      <c r="K351" s="10"/>
      <c r="L351" s="6"/>
      <c r="M351" s="7"/>
      <c r="N351" s="6">
        <v>0.0</v>
      </c>
      <c r="O351" s="6" t="s">
        <v>25</v>
      </c>
      <c r="P351" s="6"/>
      <c r="Q351" s="6">
        <v>1.0</v>
      </c>
      <c r="R351" s="6" t="s">
        <v>26</v>
      </c>
      <c r="S351" s="6" t="s">
        <v>27</v>
      </c>
      <c r="T351" s="6" t="s">
        <v>56</v>
      </c>
    </row>
    <row r="352">
      <c r="B352" s="6" t="s">
        <v>850</v>
      </c>
      <c r="C352" s="7" t="str">
        <f t="shared" si="1"/>
        <v>Library of Congress</v>
      </c>
      <c r="D352" s="6" t="s">
        <v>30</v>
      </c>
      <c r="E352" s="7"/>
      <c r="F352" s="8" t="s">
        <v>851</v>
      </c>
      <c r="G352" s="7"/>
      <c r="H352" s="10"/>
      <c r="I352" s="10"/>
      <c r="J352" s="10"/>
      <c r="K352" s="10"/>
      <c r="L352" s="6"/>
      <c r="M352" s="7"/>
      <c r="N352" s="6">
        <v>0.0</v>
      </c>
      <c r="O352" s="6" t="s">
        <v>25</v>
      </c>
      <c r="P352" s="6"/>
      <c r="Q352" s="6">
        <v>1.0</v>
      </c>
      <c r="R352" s="6" t="s">
        <v>26</v>
      </c>
      <c r="S352" s="6" t="s">
        <v>27</v>
      </c>
      <c r="T352" s="6" t="s">
        <v>56</v>
      </c>
    </row>
    <row r="353">
      <c r="B353" s="6" t="s">
        <v>852</v>
      </c>
      <c r="C353" s="7" t="str">
        <f t="shared" si="1"/>
        <v>Library of Congress</v>
      </c>
      <c r="D353" s="6" t="s">
        <v>30</v>
      </c>
      <c r="E353" s="7"/>
      <c r="F353" s="8" t="s">
        <v>853</v>
      </c>
      <c r="G353" s="7"/>
      <c r="H353" s="10"/>
      <c r="I353" s="10"/>
      <c r="J353" s="10"/>
      <c r="K353" s="10"/>
      <c r="L353" s="6"/>
      <c r="M353" s="7"/>
      <c r="N353" s="6">
        <v>0.0</v>
      </c>
      <c r="O353" s="6" t="s">
        <v>25</v>
      </c>
      <c r="P353" s="6"/>
      <c r="Q353" s="6">
        <v>1.0</v>
      </c>
      <c r="R353" s="6" t="s">
        <v>26</v>
      </c>
      <c r="S353" s="6" t="s">
        <v>27</v>
      </c>
      <c r="T353" s="6" t="s">
        <v>32</v>
      </c>
    </row>
    <row r="354">
      <c r="B354" s="6" t="s">
        <v>854</v>
      </c>
      <c r="C354" s="7" t="str">
        <f t="shared" si="1"/>
        <v>Library of Congress</v>
      </c>
      <c r="D354" s="6" t="s">
        <v>30</v>
      </c>
      <c r="E354" s="7"/>
      <c r="F354" s="8" t="s">
        <v>855</v>
      </c>
      <c r="G354" s="7"/>
      <c r="H354" s="10"/>
      <c r="I354" s="10"/>
      <c r="J354" s="10"/>
      <c r="K354" s="10"/>
      <c r="L354" s="6"/>
      <c r="M354" s="7"/>
      <c r="N354" s="6">
        <v>0.0</v>
      </c>
      <c r="O354" s="6" t="s">
        <v>25</v>
      </c>
      <c r="P354" s="6"/>
      <c r="Q354" s="6">
        <v>1.0</v>
      </c>
      <c r="R354" s="6" t="s">
        <v>26</v>
      </c>
      <c r="S354" s="6" t="s">
        <v>27</v>
      </c>
      <c r="T354" s="6" t="s">
        <v>67</v>
      </c>
    </row>
    <row r="355">
      <c r="B355" s="6" t="s">
        <v>856</v>
      </c>
      <c r="C355" s="7" t="str">
        <f t="shared" si="1"/>
        <v>Library of Congress</v>
      </c>
      <c r="D355" s="6" t="s">
        <v>30</v>
      </c>
      <c r="E355" s="7"/>
      <c r="F355" s="8" t="s">
        <v>857</v>
      </c>
      <c r="G355" s="7"/>
      <c r="H355" s="10"/>
      <c r="I355" s="10"/>
      <c r="J355" s="10"/>
      <c r="K355" s="10"/>
      <c r="L355" s="6"/>
      <c r="M355" s="7"/>
      <c r="N355" s="6">
        <v>0.0</v>
      </c>
      <c r="O355" s="6" t="s">
        <v>25</v>
      </c>
      <c r="P355" s="6"/>
      <c r="Q355" s="6">
        <v>1.0</v>
      </c>
      <c r="R355" s="6" t="s">
        <v>26</v>
      </c>
      <c r="S355" s="6" t="s">
        <v>27</v>
      </c>
      <c r="T355" s="6" t="s">
        <v>107</v>
      </c>
    </row>
    <row r="356">
      <c r="B356" s="6" t="s">
        <v>858</v>
      </c>
      <c r="C356" s="7" t="str">
        <f t="shared" si="1"/>
        <v/>
      </c>
      <c r="D356" s="7" t="s">
        <v>30</v>
      </c>
      <c r="E356" s="1"/>
      <c r="F356" s="8" t="s">
        <v>859</v>
      </c>
      <c r="G356" s="1"/>
      <c r="M356" s="1"/>
      <c r="N356" s="6">
        <v>0.0</v>
      </c>
      <c r="O356" s="6" t="s">
        <v>25</v>
      </c>
      <c r="P356" s="6"/>
      <c r="Q356" s="6">
        <v>1.0</v>
      </c>
      <c r="R356" s="6" t="s">
        <v>26</v>
      </c>
      <c r="S356" s="6" t="s">
        <v>27</v>
      </c>
      <c r="T356" s="6" t="s">
        <v>70</v>
      </c>
    </row>
    <row r="357">
      <c r="B357" s="6" t="s">
        <v>860</v>
      </c>
      <c r="C357" s="7" t="str">
        <f t="shared" si="1"/>
        <v/>
      </c>
      <c r="D357" s="7" t="s">
        <v>20</v>
      </c>
      <c r="E357" s="7">
        <v>1.0</v>
      </c>
      <c r="F357" s="8" t="s">
        <v>861</v>
      </c>
      <c r="G357" s="8" t="s">
        <v>862</v>
      </c>
      <c r="H357" s="9" t="str">
        <f>LEFT(G357, LEN(G357)-1)</f>
        <v>https://www.lifeofanarchitect.com</v>
      </c>
      <c r="I357" s="9" t="str">
        <f>IFERROR(__xludf.DUMMYFUNCTION("IF(REGEXMATCH(H357,""www""),RIGHT(H357,LEN(H357)-FIND(""."",H357)+0),if(regexmatch(H357,""https://""),right(H357,len(H357)-find(""/"",H357)-1),H357))"),"lifeofanarchitect.com")</f>
        <v>lifeofanarchitect.com</v>
      </c>
      <c r="J357" s="9" t="str">
        <f>I357</f>
        <v>lifeofanarchitect.com</v>
      </c>
      <c r="K357" s="9" t="s">
        <v>23</v>
      </c>
      <c r="L357" s="6" t="s">
        <v>24</v>
      </c>
      <c r="M357" s="8" t="str">
        <f>K357&amp;J357&amp;L357</f>
        <v>https://newsapi.org/v2/everything?domains=lifeofanarchitect.com&amp;apiKey=ae2ad3e68d4e4daca149bbfb9b61c010</v>
      </c>
      <c r="N357" s="6">
        <v>0.0</v>
      </c>
      <c r="O357" s="6" t="s">
        <v>39</v>
      </c>
      <c r="P357" s="6"/>
      <c r="Q357" s="6">
        <v>1.0</v>
      </c>
      <c r="R357" s="6" t="s">
        <v>26</v>
      </c>
      <c r="S357" s="6" t="s">
        <v>27</v>
      </c>
      <c r="T357" s="6" t="s">
        <v>61</v>
      </c>
    </row>
    <row r="358">
      <c r="B358" s="6" t="s">
        <v>863</v>
      </c>
      <c r="C358" s="7" t="str">
        <f t="shared" si="1"/>
        <v/>
      </c>
      <c r="D358" s="7" t="s">
        <v>20</v>
      </c>
      <c r="E358" s="1"/>
      <c r="F358" s="8" t="s">
        <v>864</v>
      </c>
      <c r="G358" s="1"/>
      <c r="M358" s="1"/>
      <c r="N358" s="6">
        <v>1.0</v>
      </c>
      <c r="O358" s="6" t="s">
        <v>25</v>
      </c>
      <c r="P358" s="6"/>
      <c r="Q358" s="6">
        <v>1.0</v>
      </c>
      <c r="R358" s="6" t="s">
        <v>26</v>
      </c>
      <c r="S358" s="6" t="s">
        <v>27</v>
      </c>
      <c r="T358" s="6" t="s">
        <v>90</v>
      </c>
    </row>
    <row r="359">
      <c r="B359" s="6" t="s">
        <v>865</v>
      </c>
      <c r="C359" s="7" t="str">
        <f t="shared" si="1"/>
        <v/>
      </c>
      <c r="D359" s="7" t="s">
        <v>20</v>
      </c>
      <c r="E359" s="7"/>
      <c r="F359" s="8" t="s">
        <v>866</v>
      </c>
      <c r="G359" s="8" t="s">
        <v>867</v>
      </c>
      <c r="H359" s="9" t="str">
        <f t="shared" ref="H359:H363" si="103">LEFT(G359, LEN(G359)-1)</f>
        <v>https://www.davidairey.com</v>
      </c>
      <c r="I359" s="9" t="str">
        <f>IFERROR(__xludf.DUMMYFUNCTION("IF(REGEXMATCH(H359,""www""),RIGHT(H359,LEN(H359)-FIND(""."",H359)+0),if(regexmatch(H359,""https://""),right(H359,len(H359)-find(""/"",H359)-1),H359))"),"davidairey.com")</f>
        <v>davidairey.com</v>
      </c>
      <c r="J359" s="9" t="str">
        <f t="shared" ref="J359:J363" si="104">I359</f>
        <v>davidairey.com</v>
      </c>
      <c r="K359" s="9" t="s">
        <v>23</v>
      </c>
      <c r="L359" s="6" t="s">
        <v>176</v>
      </c>
      <c r="M359" s="8" t="str">
        <f t="shared" ref="M359:M363" si="105">K359&amp;J359&amp;L359</f>
        <v>https://newsapi.org/v2/everything?domains=davidairey.com&amp;apiKey=7d4cb29b783f48c8a1837901e959f134</v>
      </c>
      <c r="N359" s="6">
        <v>0.0</v>
      </c>
      <c r="O359" s="6" t="s">
        <v>39</v>
      </c>
      <c r="P359" s="6"/>
      <c r="Q359" s="6">
        <v>1.0</v>
      </c>
      <c r="R359" s="6" t="s">
        <v>26</v>
      </c>
      <c r="S359" s="6" t="s">
        <v>27</v>
      </c>
      <c r="T359" s="6" t="s">
        <v>52</v>
      </c>
    </row>
    <row r="360">
      <c r="B360" s="6" t="s">
        <v>868</v>
      </c>
      <c r="C360" s="7" t="str">
        <f t="shared" si="1"/>
        <v/>
      </c>
      <c r="D360" s="7" t="s">
        <v>50</v>
      </c>
      <c r="E360" s="7">
        <v>76.0</v>
      </c>
      <c r="F360" s="7"/>
      <c r="G360" s="8" t="s">
        <v>869</v>
      </c>
      <c r="H360" s="9" t="str">
        <f t="shared" si="103"/>
        <v>https://longreads.com</v>
      </c>
      <c r="I360" s="9" t="str">
        <f>IFERROR(__xludf.DUMMYFUNCTION("IF(REGEXMATCH(H360,""www""),RIGHT(H360,LEN(H360)-FIND(""."",H360)+0),if(regexmatch(H360,""https://""),right(H360,len(H360)-find(""/"",H360)-1),H360))"),"longreads.com")</f>
        <v>longreads.com</v>
      </c>
      <c r="J360" s="9" t="str">
        <f t="shared" si="104"/>
        <v>longreads.com</v>
      </c>
      <c r="K360" s="9" t="s">
        <v>23</v>
      </c>
      <c r="L360" s="6" t="s">
        <v>176</v>
      </c>
      <c r="M360" s="8" t="str">
        <f t="shared" si="105"/>
        <v>https://newsapi.org/v2/everything?domains=longreads.com&amp;apiKey=7d4cb29b783f48c8a1837901e959f134</v>
      </c>
      <c r="N360" s="6">
        <v>0.0</v>
      </c>
      <c r="O360" s="6" t="s">
        <v>25</v>
      </c>
      <c r="P360" s="6"/>
      <c r="Q360" s="6">
        <v>1.0</v>
      </c>
      <c r="R360" s="6" t="s">
        <v>26</v>
      </c>
      <c r="S360" s="6" t="s">
        <v>27</v>
      </c>
      <c r="T360" s="6" t="s">
        <v>70</v>
      </c>
    </row>
    <row r="361">
      <c r="B361" s="6" t="s">
        <v>870</v>
      </c>
      <c r="C361" s="7" t="str">
        <f t="shared" si="1"/>
        <v/>
      </c>
      <c r="D361" s="7" t="s">
        <v>20</v>
      </c>
      <c r="E361" s="11" t="s">
        <v>871</v>
      </c>
      <c r="F361" s="12"/>
      <c r="G361" s="11" t="s">
        <v>872</v>
      </c>
      <c r="H361" s="9" t="str">
        <f t="shared" si="103"/>
        <v>https://lukeplant.me.uk</v>
      </c>
      <c r="I361" s="9" t="str">
        <f>IFERROR(__xludf.DUMMYFUNCTION("IF(REGEXMATCH(H361,""www""),RIGHT(H361,LEN(H361)-FIND(""."",H361)+0),if(regexmatch(H361,""https://""),right(H361,len(H361)-find(""/"",H361)-1),H361))"),"lukeplant.me.uk")</f>
        <v>lukeplant.me.uk</v>
      </c>
      <c r="J361" s="9" t="str">
        <f t="shared" si="104"/>
        <v>lukeplant.me.uk</v>
      </c>
      <c r="K361" s="9" t="s">
        <v>23</v>
      </c>
      <c r="L361" s="6" t="s">
        <v>176</v>
      </c>
      <c r="M361" s="8" t="str">
        <f t="shared" si="105"/>
        <v>https://newsapi.org/v2/everything?domains=lukeplant.me.uk&amp;apiKey=7d4cb29b783f48c8a1837901e959f134</v>
      </c>
      <c r="N361" s="6">
        <v>0.0</v>
      </c>
      <c r="O361" s="6" t="s">
        <v>25</v>
      </c>
      <c r="P361" s="6"/>
      <c r="Q361" s="6">
        <v>1.0</v>
      </c>
      <c r="R361" s="6" t="s">
        <v>26</v>
      </c>
      <c r="S361" s="6" t="s">
        <v>27</v>
      </c>
      <c r="T361" s="6" t="s">
        <v>145</v>
      </c>
    </row>
    <row r="362">
      <c r="B362" s="6" t="s">
        <v>873</v>
      </c>
      <c r="C362" s="7" t="str">
        <f t="shared" si="1"/>
        <v/>
      </c>
      <c r="D362" s="7" t="s">
        <v>20</v>
      </c>
      <c r="E362" s="7"/>
      <c r="F362" s="8" t="s">
        <v>874</v>
      </c>
      <c r="G362" s="8" t="s">
        <v>875</v>
      </c>
      <c r="H362" s="9" t="str">
        <f t="shared" si="103"/>
        <v>https://www.macrovisor.com</v>
      </c>
      <c r="I362" s="9" t="str">
        <f>IFERROR(__xludf.DUMMYFUNCTION("IF(REGEXMATCH(H362,""www""),RIGHT(H362,LEN(H362)-FIND(""."",H362)+0),if(regexmatch(H362,""https://""),right(H362,len(H362)-find(""/"",H362)-1),H362))"),"macrovisor.com")</f>
        <v>macrovisor.com</v>
      </c>
      <c r="J362" s="9" t="str">
        <f t="shared" si="104"/>
        <v>macrovisor.com</v>
      </c>
      <c r="K362" s="9" t="s">
        <v>23</v>
      </c>
      <c r="L362" s="6" t="s">
        <v>176</v>
      </c>
      <c r="M362" s="8" t="str">
        <f t="shared" si="105"/>
        <v>https://newsapi.org/v2/everything?domains=macrovisor.com&amp;apiKey=7d4cb29b783f48c8a1837901e959f134</v>
      </c>
      <c r="N362" s="6">
        <v>0.0</v>
      </c>
      <c r="O362" s="6" t="s">
        <v>39</v>
      </c>
      <c r="P362" s="6"/>
      <c r="Q362" s="6">
        <v>1.0</v>
      </c>
      <c r="R362" s="6" t="s">
        <v>26</v>
      </c>
      <c r="S362" s="6" t="s">
        <v>27</v>
      </c>
      <c r="T362" s="6" t="s">
        <v>248</v>
      </c>
    </row>
    <row r="363">
      <c r="B363" s="6" t="s">
        <v>876</v>
      </c>
      <c r="C363" s="7" t="str">
        <f t="shared" si="1"/>
        <v/>
      </c>
      <c r="D363" s="7" t="s">
        <v>20</v>
      </c>
      <c r="E363" s="7"/>
      <c r="F363" s="8" t="s">
        <v>877</v>
      </c>
      <c r="G363" s="8" t="s">
        <v>878</v>
      </c>
      <c r="H363" s="9" t="str">
        <f t="shared" si="103"/>
        <v>https://macsmotorcitygarage.com</v>
      </c>
      <c r="I363" s="9" t="str">
        <f>IFERROR(__xludf.DUMMYFUNCTION("IF(REGEXMATCH(H363,""www""),RIGHT(H363,LEN(H363)-FIND(""."",H363)+0),if(regexmatch(H363,""https://""),right(H363,len(H363)-find(""/"",H363)-1),H363))"),"macsmotorcitygarage.com")</f>
        <v>macsmotorcitygarage.com</v>
      </c>
      <c r="J363" s="9" t="str">
        <f t="shared" si="104"/>
        <v>macsmotorcitygarage.com</v>
      </c>
      <c r="K363" s="9" t="s">
        <v>23</v>
      </c>
      <c r="L363" s="6" t="s">
        <v>176</v>
      </c>
      <c r="M363" s="8" t="str">
        <f t="shared" si="105"/>
        <v>https://newsapi.org/v2/everything?domains=macsmotorcitygarage.com&amp;apiKey=7d4cb29b783f48c8a1837901e959f134</v>
      </c>
      <c r="N363" s="6">
        <v>1.0</v>
      </c>
      <c r="O363" s="6" t="s">
        <v>25</v>
      </c>
      <c r="P363" s="6"/>
      <c r="Q363" s="6">
        <v>1.0</v>
      </c>
      <c r="R363" s="6" t="s">
        <v>26</v>
      </c>
      <c r="S363" s="6" t="s">
        <v>27</v>
      </c>
      <c r="T363" s="6" t="s">
        <v>374</v>
      </c>
    </row>
    <row r="364">
      <c r="B364" s="6" t="s">
        <v>879</v>
      </c>
      <c r="C364" s="7" t="str">
        <f t="shared" si="1"/>
        <v/>
      </c>
      <c r="D364" s="7" t="s">
        <v>20</v>
      </c>
      <c r="E364" s="1"/>
      <c r="F364" s="8" t="s">
        <v>880</v>
      </c>
      <c r="G364" s="1"/>
      <c r="M364" s="1"/>
      <c r="N364" s="6">
        <v>0.0</v>
      </c>
      <c r="O364" s="6" t="s">
        <v>43</v>
      </c>
      <c r="P364" s="6"/>
      <c r="Q364" s="6">
        <v>1.0</v>
      </c>
      <c r="R364" s="6" t="s">
        <v>26</v>
      </c>
      <c r="S364" s="6" t="s">
        <v>27</v>
      </c>
      <c r="T364" s="6" t="s">
        <v>85</v>
      </c>
    </row>
    <row r="365">
      <c r="B365" s="6" t="s">
        <v>881</v>
      </c>
      <c r="C365" s="7" t="str">
        <f t="shared" si="1"/>
        <v/>
      </c>
      <c r="D365" s="7" t="s">
        <v>50</v>
      </c>
      <c r="E365" s="7">
        <v>35.0</v>
      </c>
      <c r="F365" s="7"/>
      <c r="G365" s="8" t="s">
        <v>882</v>
      </c>
      <c r="H365" s="9" t="str">
        <f t="shared" ref="H365:H371" si="106">LEFT(G365, LEN(G365)-1)</f>
        <v>https://www.themarginalian.org</v>
      </c>
      <c r="I365" s="9" t="str">
        <f>IFERROR(__xludf.DUMMYFUNCTION("IF(REGEXMATCH(H365,""www""),RIGHT(H365,LEN(H365)-FIND(""."",H365)+0),if(regexmatch(H365,""https://""),right(H365,len(H365)-find(""/"",H365)-1),H365))"),"themarginalian.org")</f>
        <v>themarginalian.org</v>
      </c>
      <c r="J365" s="9" t="str">
        <f t="shared" ref="J365:J371" si="107">I365</f>
        <v>themarginalian.org</v>
      </c>
      <c r="K365" s="9" t="s">
        <v>23</v>
      </c>
      <c r="L365" s="6" t="s">
        <v>176</v>
      </c>
      <c r="M365" s="8" t="str">
        <f t="shared" ref="M365:M371" si="108">K365&amp;J365&amp;L365</f>
        <v>https://newsapi.org/v2/everything?domains=themarginalian.org&amp;apiKey=7d4cb29b783f48c8a1837901e959f134</v>
      </c>
      <c r="N365" s="6">
        <v>0.0</v>
      </c>
      <c r="O365" s="6" t="s">
        <v>25</v>
      </c>
      <c r="P365" s="6"/>
      <c r="Q365" s="6">
        <v>1.0</v>
      </c>
      <c r="R365" s="6" t="s">
        <v>26</v>
      </c>
      <c r="S365" s="6" t="s">
        <v>27</v>
      </c>
      <c r="T365" s="6" t="s">
        <v>67</v>
      </c>
    </row>
    <row r="366">
      <c r="B366" s="6" t="s">
        <v>883</v>
      </c>
      <c r="C366" s="7" t="str">
        <f t="shared" si="1"/>
        <v/>
      </c>
      <c r="D366" s="7" t="s">
        <v>20</v>
      </c>
      <c r="E366" s="7"/>
      <c r="F366" s="8" t="s">
        <v>884</v>
      </c>
      <c r="G366" s="8" t="s">
        <v>885</v>
      </c>
      <c r="H366" s="9" t="str">
        <f t="shared" si="106"/>
        <v>https://www.marketingdive.com</v>
      </c>
      <c r="I366" s="9" t="str">
        <f>IFERROR(__xludf.DUMMYFUNCTION("IF(REGEXMATCH(H366,""www""),RIGHT(H366,LEN(H366)-FIND(""."",H366)+0),if(regexmatch(H366,""https://""),right(H366,len(H366)-find(""/"",H366)-1),H366))"),"marketingdive.com")</f>
        <v>marketingdive.com</v>
      </c>
      <c r="J366" s="9" t="str">
        <f t="shared" si="107"/>
        <v>marketingdive.com</v>
      </c>
      <c r="K366" s="9" t="s">
        <v>23</v>
      </c>
      <c r="L366" s="6" t="s">
        <v>176</v>
      </c>
      <c r="M366" s="8" t="str">
        <f t="shared" si="108"/>
        <v>https://newsapi.org/v2/everything?domains=marketingdive.com&amp;apiKey=7d4cb29b783f48c8a1837901e959f134</v>
      </c>
      <c r="N366" s="6">
        <v>1.0</v>
      </c>
      <c r="O366" s="6" t="s">
        <v>25</v>
      </c>
      <c r="P366" s="6"/>
      <c r="Q366" s="6">
        <v>1.0</v>
      </c>
      <c r="R366" s="6" t="s">
        <v>26</v>
      </c>
      <c r="S366" s="6" t="s">
        <v>27</v>
      </c>
      <c r="T366" s="6" t="s">
        <v>329</v>
      </c>
    </row>
    <row r="367">
      <c r="B367" s="6" t="s">
        <v>886</v>
      </c>
      <c r="C367" s="7" t="str">
        <f t="shared" si="1"/>
        <v/>
      </c>
      <c r="D367" s="7" t="s">
        <v>50</v>
      </c>
      <c r="E367" s="7">
        <v>100.0</v>
      </c>
      <c r="F367" s="7"/>
      <c r="G367" s="8" t="s">
        <v>887</v>
      </c>
      <c r="H367" s="9" t="str">
        <f t="shared" si="106"/>
        <v>https://martech.org</v>
      </c>
      <c r="I367" s="9" t="str">
        <f>IFERROR(__xludf.DUMMYFUNCTION("IF(REGEXMATCH(H367,""www""),RIGHT(H367,LEN(H367)-FIND(""."",H367)+0),if(regexmatch(H367,""https://""),right(H367,len(H367)-find(""/"",H367)-1),H367))"),"martech.org")</f>
        <v>martech.org</v>
      </c>
      <c r="J367" s="9" t="str">
        <f t="shared" si="107"/>
        <v>martech.org</v>
      </c>
      <c r="K367" s="9" t="s">
        <v>23</v>
      </c>
      <c r="L367" s="6" t="s">
        <v>24</v>
      </c>
      <c r="M367" s="8" t="str">
        <f t="shared" si="108"/>
        <v>https://newsapi.org/v2/everything?domains=martech.org&amp;apiKey=ae2ad3e68d4e4daca149bbfb9b61c010</v>
      </c>
      <c r="N367" s="6">
        <v>1.0</v>
      </c>
      <c r="O367" s="6" t="s">
        <v>25</v>
      </c>
      <c r="P367" s="6"/>
      <c r="Q367" s="6">
        <v>1.0</v>
      </c>
      <c r="R367" s="6" t="s">
        <v>26</v>
      </c>
      <c r="S367" s="6" t="s">
        <v>27</v>
      </c>
      <c r="T367" s="6" t="s">
        <v>329</v>
      </c>
    </row>
    <row r="368">
      <c r="B368" s="6" t="s">
        <v>888</v>
      </c>
      <c r="C368" s="7" t="str">
        <f t="shared" si="1"/>
        <v/>
      </c>
      <c r="D368" s="7" t="s">
        <v>20</v>
      </c>
      <c r="E368" s="7"/>
      <c r="F368" s="8" t="s">
        <v>889</v>
      </c>
      <c r="G368" s="8" t="s">
        <v>890</v>
      </c>
      <c r="H368" s="9" t="str">
        <f t="shared" si="106"/>
        <v>https://martinfowler.com</v>
      </c>
      <c r="I368" s="9" t="str">
        <f>IFERROR(__xludf.DUMMYFUNCTION("IF(REGEXMATCH(H368,""www""),RIGHT(H368,LEN(H368)-FIND(""."",H368)+0),if(regexmatch(H368,""https://""),right(H368,len(H368)-find(""/"",H368)-1),H368))"),"martinfowler.com")</f>
        <v>martinfowler.com</v>
      </c>
      <c r="J368" s="9" t="str">
        <f t="shared" si="107"/>
        <v>martinfowler.com</v>
      </c>
      <c r="K368" s="9" t="s">
        <v>23</v>
      </c>
      <c r="L368" s="6" t="s">
        <v>176</v>
      </c>
      <c r="M368" s="8" t="str">
        <f t="shared" si="108"/>
        <v>https://newsapi.org/v2/everything?domains=martinfowler.com&amp;apiKey=7d4cb29b783f48c8a1837901e959f134</v>
      </c>
      <c r="N368" s="6">
        <v>0.0</v>
      </c>
      <c r="O368" s="6" t="s">
        <v>39</v>
      </c>
      <c r="P368" s="6"/>
      <c r="Q368" s="6">
        <v>1.0</v>
      </c>
      <c r="R368" s="6" t="s">
        <v>26</v>
      </c>
      <c r="S368" s="6" t="s">
        <v>27</v>
      </c>
      <c r="T368" s="6" t="s">
        <v>145</v>
      </c>
    </row>
    <row r="369">
      <c r="B369" s="6" t="s">
        <v>891</v>
      </c>
      <c r="C369" s="7" t="str">
        <f t="shared" si="1"/>
        <v/>
      </c>
      <c r="D369" s="7" t="s">
        <v>20</v>
      </c>
      <c r="E369" s="7"/>
      <c r="F369" s="8" t="s">
        <v>892</v>
      </c>
      <c r="G369" s="8" t="s">
        <v>893</v>
      </c>
      <c r="H369" s="9" t="str">
        <f t="shared" si="106"/>
        <v>https://newsnetwork.mayoclinic.org</v>
      </c>
      <c r="I369" s="9" t="str">
        <f>IFERROR(__xludf.DUMMYFUNCTION("IF(REGEXMATCH(H369,""www""),RIGHT(H369,LEN(H369)-FIND(""."",H369)+0),if(regexmatch(H369,""https://""),right(H369,len(H369)-find(""/"",H369)-1),H369))"),"newsnetwork.mayoclinic.org")</f>
        <v>newsnetwork.mayoclinic.org</v>
      </c>
      <c r="J369" s="9" t="str">
        <f t="shared" si="107"/>
        <v>newsnetwork.mayoclinic.org</v>
      </c>
      <c r="K369" s="9" t="s">
        <v>23</v>
      </c>
      <c r="L369" s="6" t="s">
        <v>176</v>
      </c>
      <c r="M369" s="8" t="str">
        <f t="shared" si="108"/>
        <v>https://newsapi.org/v2/everything?domains=newsnetwork.mayoclinic.org&amp;apiKey=7d4cb29b783f48c8a1837901e959f134</v>
      </c>
      <c r="N369" s="6">
        <v>1.0</v>
      </c>
      <c r="O369" s="6" t="s">
        <v>25</v>
      </c>
      <c r="P369" s="6"/>
      <c r="Q369" s="6">
        <v>1.0</v>
      </c>
      <c r="R369" s="6" t="s">
        <v>26</v>
      </c>
      <c r="S369" s="6" t="s">
        <v>27</v>
      </c>
      <c r="T369" s="6" t="s">
        <v>101</v>
      </c>
    </row>
    <row r="370">
      <c r="B370" s="6" t="s">
        <v>894</v>
      </c>
      <c r="C370" s="7" t="str">
        <f t="shared" si="1"/>
        <v/>
      </c>
      <c r="D370" s="7" t="s">
        <v>50</v>
      </c>
      <c r="E370" s="7">
        <v>100.0</v>
      </c>
      <c r="F370" s="7"/>
      <c r="G370" s="8" t="s">
        <v>895</v>
      </c>
      <c r="H370" s="9" t="str">
        <f t="shared" si="106"/>
        <v>https://www.mckinsey.com</v>
      </c>
      <c r="I370" s="9" t="str">
        <f>IFERROR(__xludf.DUMMYFUNCTION("IF(REGEXMATCH(H370,""www""),RIGHT(H370,LEN(H370)-FIND(""."",H370)+0),if(regexmatch(H370,""https://""),right(H370,len(H370)-find(""/"",H370)-1),H370))"),"mckinsey.com")</f>
        <v>mckinsey.com</v>
      </c>
      <c r="J370" s="9" t="str">
        <f t="shared" si="107"/>
        <v>mckinsey.com</v>
      </c>
      <c r="K370" s="9" t="s">
        <v>23</v>
      </c>
      <c r="L370" s="6" t="s">
        <v>176</v>
      </c>
      <c r="M370" s="8" t="str">
        <f t="shared" si="108"/>
        <v>https://newsapi.org/v2/everything?domains=mckinsey.com&amp;apiKey=7d4cb29b783f48c8a1837901e959f134</v>
      </c>
      <c r="N370" s="6">
        <v>0.0</v>
      </c>
      <c r="O370" s="6" t="s">
        <v>25</v>
      </c>
      <c r="P370" s="6"/>
      <c r="Q370" s="6">
        <v>1.0</v>
      </c>
      <c r="R370" s="6" t="s">
        <v>26</v>
      </c>
      <c r="S370" s="6" t="s">
        <v>27</v>
      </c>
      <c r="T370" s="6" t="s">
        <v>48</v>
      </c>
    </row>
    <row r="371">
      <c r="B371" s="6" t="s">
        <v>896</v>
      </c>
      <c r="C371" s="7" t="str">
        <f t="shared" si="1"/>
        <v/>
      </c>
      <c r="D371" s="7" t="s">
        <v>20</v>
      </c>
      <c r="E371" s="12"/>
      <c r="F371" s="11" t="s">
        <v>897</v>
      </c>
      <c r="G371" s="11" t="s">
        <v>898</v>
      </c>
      <c r="H371" s="9" t="str">
        <f t="shared" si="106"/>
        <v>https://www.memorysafety.org</v>
      </c>
      <c r="I371" s="9" t="str">
        <f>IFERROR(__xludf.DUMMYFUNCTION("IF(REGEXMATCH(H371,""www""),RIGHT(H371,LEN(H371)-FIND(""."",H371)+0),if(regexmatch(H371,""https://""),right(H371,len(H371)-find(""/"",H371)-1),H371))"),"memorysafety.org")</f>
        <v>memorysafety.org</v>
      </c>
      <c r="J371" s="9" t="str">
        <f t="shared" si="107"/>
        <v>memorysafety.org</v>
      </c>
      <c r="K371" s="9" t="s">
        <v>23</v>
      </c>
      <c r="L371" s="6" t="s">
        <v>176</v>
      </c>
      <c r="M371" s="8" t="str">
        <f t="shared" si="108"/>
        <v>https://newsapi.org/v2/everything?domains=memorysafety.org&amp;apiKey=7d4cb29b783f48c8a1837901e959f134</v>
      </c>
      <c r="N371" s="6">
        <v>0.0</v>
      </c>
      <c r="O371" s="6" t="s">
        <v>39</v>
      </c>
      <c r="P371" s="6"/>
      <c r="Q371" s="6">
        <v>1.0</v>
      </c>
      <c r="R371" s="6" t="s">
        <v>26</v>
      </c>
      <c r="S371" s="6" t="s">
        <v>27</v>
      </c>
      <c r="T371" s="6" t="s">
        <v>145</v>
      </c>
    </row>
    <row r="372">
      <c r="B372" s="6" t="s">
        <v>899</v>
      </c>
      <c r="C372" s="7" t="str">
        <f t="shared" si="1"/>
        <v/>
      </c>
      <c r="D372" s="16" t="s">
        <v>20</v>
      </c>
      <c r="E372" s="12"/>
      <c r="F372" s="11" t="s">
        <v>900</v>
      </c>
      <c r="G372" s="7"/>
      <c r="M372" s="1"/>
      <c r="N372" s="6">
        <v>0.0</v>
      </c>
      <c r="O372" s="6" t="s">
        <v>43</v>
      </c>
      <c r="P372" s="6"/>
      <c r="Q372" s="6">
        <v>1.0</v>
      </c>
      <c r="R372" s="6" t="s">
        <v>26</v>
      </c>
      <c r="S372" s="6" t="s">
        <v>27</v>
      </c>
      <c r="T372" s="6" t="s">
        <v>248</v>
      </c>
    </row>
    <row r="373">
      <c r="B373" s="6" t="s">
        <v>901</v>
      </c>
      <c r="C373" s="7" t="str">
        <f t="shared" si="1"/>
        <v/>
      </c>
      <c r="D373" s="7" t="s">
        <v>20</v>
      </c>
      <c r="E373" s="1"/>
      <c r="F373" s="11" t="s">
        <v>902</v>
      </c>
      <c r="G373" s="1"/>
      <c r="M373" s="1"/>
      <c r="N373" s="6">
        <v>0.0</v>
      </c>
      <c r="O373" s="6" t="s">
        <v>43</v>
      </c>
      <c r="P373" s="6"/>
      <c r="Q373" s="6">
        <v>1.0</v>
      </c>
      <c r="R373" s="6" t="s">
        <v>26</v>
      </c>
      <c r="S373" s="6" t="s">
        <v>27</v>
      </c>
      <c r="T373" s="6" t="s">
        <v>70</v>
      </c>
    </row>
    <row r="374">
      <c r="B374" s="6" t="s">
        <v>903</v>
      </c>
      <c r="C374" s="7" t="str">
        <f t="shared" si="1"/>
        <v/>
      </c>
      <c r="D374" s="7" t="s">
        <v>20</v>
      </c>
      <c r="E374" s="7"/>
      <c r="F374" s="8" t="s">
        <v>904</v>
      </c>
      <c r="G374" s="8" t="s">
        <v>905</v>
      </c>
      <c r="H374" s="9" t="str">
        <f t="shared" ref="H374:H375" si="109">LEFT(G374, LEN(G374)-1)</f>
        <v>https://milkyeggs.com</v>
      </c>
      <c r="I374" s="9" t="str">
        <f>IFERROR(__xludf.DUMMYFUNCTION("IF(REGEXMATCH(H374,""www""),RIGHT(H374,LEN(H374)-FIND(""."",H374)+0),if(regexmatch(H374,""https://""),right(H374,len(H374)-find(""/"",H374)-1),H374))"),"milkyeggs.com")</f>
        <v>milkyeggs.com</v>
      </c>
      <c r="J374" s="9" t="str">
        <f t="shared" ref="J374:J375" si="110">I374</f>
        <v>milkyeggs.com</v>
      </c>
      <c r="K374" s="9" t="s">
        <v>23</v>
      </c>
      <c r="L374" s="6" t="s">
        <v>24</v>
      </c>
      <c r="M374" s="8" t="str">
        <f t="shared" ref="M374:M375" si="111">K374&amp;J374&amp;L374</f>
        <v>https://newsapi.org/v2/everything?domains=milkyeggs.com&amp;apiKey=ae2ad3e68d4e4daca149bbfb9b61c010</v>
      </c>
      <c r="N374" s="6">
        <v>0.0</v>
      </c>
      <c r="O374" s="6" t="s">
        <v>39</v>
      </c>
      <c r="P374" s="6"/>
      <c r="Q374" s="6">
        <v>1.0</v>
      </c>
      <c r="R374" s="6" t="s">
        <v>26</v>
      </c>
      <c r="S374" s="6" t="s">
        <v>27</v>
      </c>
      <c r="T374" s="6" t="s">
        <v>76</v>
      </c>
    </row>
    <row r="375">
      <c r="B375" s="6" t="s">
        <v>906</v>
      </c>
      <c r="C375" s="7" t="str">
        <f t="shared" si="1"/>
        <v/>
      </c>
      <c r="D375" s="7" t="s">
        <v>20</v>
      </c>
      <c r="E375" s="7"/>
      <c r="F375" s="8" t="s">
        <v>907</v>
      </c>
      <c r="G375" s="8" t="s">
        <v>908</v>
      </c>
      <c r="H375" s="9" t="str">
        <f t="shared" si="109"/>
        <v>https://misfitsarchitecture.com</v>
      </c>
      <c r="I375" s="9" t="str">
        <f>IFERROR(__xludf.DUMMYFUNCTION("IF(REGEXMATCH(H375,""www""),RIGHT(H375,LEN(H375)-FIND(""."",H375)+0),if(regexmatch(H375,""https://""),right(H375,len(H375)-find(""/"",H375)-1),H375))"),"misfitsarchitecture.com")</f>
        <v>misfitsarchitecture.com</v>
      </c>
      <c r="J375" s="9" t="str">
        <f t="shared" si="110"/>
        <v>misfitsarchitecture.com</v>
      </c>
      <c r="K375" s="9" t="s">
        <v>23</v>
      </c>
      <c r="L375" s="6" t="s">
        <v>24</v>
      </c>
      <c r="M375" s="8" t="str">
        <f t="shared" si="111"/>
        <v>https://newsapi.org/v2/everything?domains=misfitsarchitecture.com&amp;apiKey=ae2ad3e68d4e4daca149bbfb9b61c010</v>
      </c>
      <c r="N375" s="6">
        <v>0.0</v>
      </c>
      <c r="O375" s="6" t="s">
        <v>25</v>
      </c>
      <c r="P375" s="6"/>
      <c r="Q375" s="6">
        <v>1.0</v>
      </c>
      <c r="R375" s="6" t="s">
        <v>26</v>
      </c>
      <c r="S375" s="6" t="s">
        <v>27</v>
      </c>
      <c r="T375" s="6" t="s">
        <v>61</v>
      </c>
    </row>
    <row r="376">
      <c r="B376" s="6" t="s">
        <v>909</v>
      </c>
      <c r="C376" s="7" t="str">
        <f t="shared" si="1"/>
        <v/>
      </c>
      <c r="D376" s="6" t="s">
        <v>30</v>
      </c>
      <c r="E376" s="7"/>
      <c r="F376" s="8" t="s">
        <v>910</v>
      </c>
      <c r="G376" s="1"/>
      <c r="H376" s="10"/>
      <c r="I376" s="10"/>
      <c r="J376" s="10"/>
      <c r="K376" s="10"/>
      <c r="M376" s="7"/>
      <c r="N376" s="6">
        <v>0.0</v>
      </c>
      <c r="O376" s="6" t="s">
        <v>25</v>
      </c>
      <c r="P376" s="6"/>
      <c r="Q376" s="6">
        <v>1.0</v>
      </c>
      <c r="R376" s="6" t="s">
        <v>26</v>
      </c>
      <c r="S376" s="6" t="s">
        <v>27</v>
      </c>
      <c r="T376" s="6" t="s">
        <v>131</v>
      </c>
    </row>
    <row r="377">
      <c r="B377" s="6" t="s">
        <v>911</v>
      </c>
      <c r="C377" s="7" t="str">
        <f t="shared" si="1"/>
        <v>MIT Press Reader</v>
      </c>
      <c r="D377" s="7" t="s">
        <v>30</v>
      </c>
      <c r="E377" s="7"/>
      <c r="F377" s="8" t="s">
        <v>912</v>
      </c>
      <c r="G377" s="7"/>
      <c r="M377" s="1"/>
      <c r="N377" s="6">
        <v>0.0</v>
      </c>
      <c r="O377" s="6" t="s">
        <v>25</v>
      </c>
      <c r="P377" s="6"/>
      <c r="Q377" s="6">
        <v>1.0</v>
      </c>
      <c r="R377" s="6" t="s">
        <v>26</v>
      </c>
      <c r="S377" s="6" t="s">
        <v>27</v>
      </c>
      <c r="T377" s="6" t="s">
        <v>56</v>
      </c>
    </row>
    <row r="378">
      <c r="B378" s="6" t="s">
        <v>913</v>
      </c>
      <c r="C378" s="7" t="str">
        <f t="shared" si="1"/>
        <v>MIT Press Reader</v>
      </c>
      <c r="D378" s="7" t="s">
        <v>30</v>
      </c>
      <c r="E378" s="7"/>
      <c r="F378" s="8" t="s">
        <v>914</v>
      </c>
      <c r="G378" s="7"/>
      <c r="M378" s="1"/>
      <c r="N378" s="6">
        <v>0.0</v>
      </c>
      <c r="O378" s="6" t="s">
        <v>25</v>
      </c>
      <c r="P378" s="6"/>
      <c r="Q378" s="6">
        <v>1.0</v>
      </c>
      <c r="R378" s="6" t="s">
        <v>26</v>
      </c>
      <c r="S378" s="6" t="s">
        <v>27</v>
      </c>
      <c r="T378" s="6" t="s">
        <v>248</v>
      </c>
    </row>
    <row r="379">
      <c r="B379" s="6" t="s">
        <v>915</v>
      </c>
      <c r="C379" s="7" t="str">
        <f t="shared" si="1"/>
        <v>MIT Press Reader</v>
      </c>
      <c r="D379" s="7" t="s">
        <v>30</v>
      </c>
      <c r="E379" s="7"/>
      <c r="F379" s="8" t="s">
        <v>916</v>
      </c>
      <c r="G379" s="7"/>
      <c r="M379" s="1"/>
      <c r="N379" s="6">
        <v>0.0</v>
      </c>
      <c r="O379" s="6" t="s">
        <v>25</v>
      </c>
      <c r="P379" s="6"/>
      <c r="Q379" s="6">
        <v>1.0</v>
      </c>
      <c r="R379" s="6" t="s">
        <v>26</v>
      </c>
      <c r="S379" s="6" t="s">
        <v>27</v>
      </c>
      <c r="T379" s="6" t="s">
        <v>90</v>
      </c>
    </row>
    <row r="380">
      <c r="B380" s="6" t="s">
        <v>917</v>
      </c>
      <c r="C380" s="7" t="str">
        <f t="shared" si="1"/>
        <v>MIT Press Reader</v>
      </c>
      <c r="D380" s="7" t="s">
        <v>30</v>
      </c>
      <c r="E380" s="7"/>
      <c r="F380" s="8" t="s">
        <v>918</v>
      </c>
      <c r="G380" s="7"/>
      <c r="M380" s="1"/>
      <c r="N380" s="6">
        <v>0.0</v>
      </c>
      <c r="O380" s="6" t="s">
        <v>25</v>
      </c>
      <c r="P380" s="6"/>
      <c r="Q380" s="6">
        <v>1.0</v>
      </c>
      <c r="R380" s="6" t="s">
        <v>26</v>
      </c>
      <c r="S380" s="6" t="s">
        <v>27</v>
      </c>
      <c r="T380" s="6" t="s">
        <v>28</v>
      </c>
    </row>
    <row r="381">
      <c r="B381" s="6" t="s">
        <v>919</v>
      </c>
      <c r="C381" s="7" t="str">
        <f t="shared" si="1"/>
        <v>MIT Press Reader</v>
      </c>
      <c r="D381" s="7" t="s">
        <v>30</v>
      </c>
      <c r="E381" s="7"/>
      <c r="F381" s="8" t="s">
        <v>920</v>
      </c>
      <c r="G381" s="7"/>
      <c r="M381" s="1"/>
      <c r="N381" s="6">
        <v>0.0</v>
      </c>
      <c r="O381" s="6" t="s">
        <v>25</v>
      </c>
      <c r="P381" s="6"/>
      <c r="Q381" s="6">
        <v>1.0</v>
      </c>
      <c r="R381" s="6" t="s">
        <v>26</v>
      </c>
      <c r="S381" s="6" t="s">
        <v>27</v>
      </c>
      <c r="T381" s="6" t="s">
        <v>131</v>
      </c>
    </row>
    <row r="382">
      <c r="B382" s="6" t="s">
        <v>921</v>
      </c>
      <c r="C382" s="7" t="str">
        <f t="shared" si="1"/>
        <v/>
      </c>
      <c r="D382" s="7" t="s">
        <v>50</v>
      </c>
      <c r="E382" s="7">
        <v>100.0</v>
      </c>
      <c r="F382" s="7"/>
      <c r="G382" s="8" t="s">
        <v>922</v>
      </c>
      <c r="H382" s="9" t="str">
        <f t="shared" ref="H382:H391" si="112">LEFT(G382, LEN(G382)-1)</f>
        <v>https://www.technologyreview.com</v>
      </c>
      <c r="I382" s="9" t="str">
        <f>IFERROR(__xludf.DUMMYFUNCTION("IF(REGEXMATCH(H382,""www""),RIGHT(H382,LEN(H382)-FIND(""."",H382)+0),if(regexmatch(H382,""https://""),right(H382,len(H382)-find(""/"",H382)-1),H382))"),"technologyreview.com")</f>
        <v>technologyreview.com</v>
      </c>
      <c r="J382" s="9" t="str">
        <f t="shared" ref="J382:J391" si="113">I382</f>
        <v>technologyreview.com</v>
      </c>
      <c r="K382" s="9" t="s">
        <v>23</v>
      </c>
      <c r="L382" s="6" t="s">
        <v>24</v>
      </c>
      <c r="M382" s="8" t="str">
        <f t="shared" ref="M382:M391" si="114">K382&amp;J382&amp;L382</f>
        <v>https://newsapi.org/v2/everything?domains=technologyreview.com&amp;apiKey=ae2ad3e68d4e4daca149bbfb9b61c010</v>
      </c>
      <c r="N382" s="6">
        <v>1.0</v>
      </c>
      <c r="O382" s="6" t="s">
        <v>25</v>
      </c>
      <c r="P382" s="6"/>
      <c r="Q382" s="6">
        <v>1.0</v>
      </c>
      <c r="R382" s="6" t="s">
        <v>26</v>
      </c>
      <c r="S382" s="6" t="s">
        <v>27</v>
      </c>
      <c r="T382" s="6" t="s">
        <v>76</v>
      </c>
    </row>
    <row r="383">
      <c r="B383" s="6" t="s">
        <v>923</v>
      </c>
      <c r="C383" s="7" t="str">
        <f t="shared" si="1"/>
        <v/>
      </c>
      <c r="D383" s="7" t="s">
        <v>20</v>
      </c>
      <c r="E383" s="8" t="s">
        <v>924</v>
      </c>
      <c r="F383" s="7"/>
      <c r="G383" s="8" t="s">
        <v>925</v>
      </c>
      <c r="H383" s="9" t="str">
        <f t="shared" si="112"/>
        <v>https://www.mongabay.com</v>
      </c>
      <c r="I383" s="9" t="str">
        <f>IFERROR(__xludf.DUMMYFUNCTION("IF(REGEXMATCH(H383,""www""),RIGHT(H383,LEN(H383)-FIND(""."",H383)+0),if(regexmatch(H383,""https://""),right(H383,len(H383)-find(""/"",H383)-1),H383))"),"mongabay.com")</f>
        <v>mongabay.com</v>
      </c>
      <c r="J383" s="9" t="str">
        <f t="shared" si="113"/>
        <v>mongabay.com</v>
      </c>
      <c r="K383" s="9" t="s">
        <v>23</v>
      </c>
      <c r="L383" s="6" t="s">
        <v>176</v>
      </c>
      <c r="M383" s="8" t="str">
        <f t="shared" si="114"/>
        <v>https://newsapi.org/v2/everything?domains=mongabay.com&amp;apiKey=7d4cb29b783f48c8a1837901e959f134</v>
      </c>
      <c r="N383" s="6">
        <v>1.0</v>
      </c>
      <c r="O383" s="6" t="s">
        <v>25</v>
      </c>
      <c r="P383" s="6"/>
      <c r="Q383" s="6">
        <v>1.0</v>
      </c>
      <c r="R383" s="6" t="s">
        <v>26</v>
      </c>
      <c r="S383" s="6" t="s">
        <v>27</v>
      </c>
      <c r="T383" s="6" t="s">
        <v>85</v>
      </c>
    </row>
    <row r="384">
      <c r="B384" s="6" t="s">
        <v>926</v>
      </c>
      <c r="C384" s="7" t="str">
        <f t="shared" si="1"/>
        <v/>
      </c>
      <c r="D384" s="7" t="s">
        <v>50</v>
      </c>
      <c r="E384" s="12"/>
      <c r="F384" s="12"/>
      <c r="G384" s="11" t="s">
        <v>927</v>
      </c>
      <c r="H384" s="9" t="str">
        <f t="shared" si="112"/>
        <v>https://www.morningbrew.com</v>
      </c>
      <c r="I384" s="9" t="str">
        <f>IFERROR(__xludf.DUMMYFUNCTION("IF(REGEXMATCH(H384,""www""),RIGHT(H384,LEN(H384)-FIND(""."",H384)+0),if(regexmatch(H384,""https://""),right(H384,len(H384)-find(""/"",H384)-1),H384))"),"morningbrew.com")</f>
        <v>morningbrew.com</v>
      </c>
      <c r="J384" s="9" t="str">
        <f t="shared" si="113"/>
        <v>morningbrew.com</v>
      </c>
      <c r="K384" s="9" t="s">
        <v>23</v>
      </c>
      <c r="L384" s="6" t="s">
        <v>24</v>
      </c>
      <c r="M384" s="8" t="str">
        <f t="shared" si="114"/>
        <v>https://newsapi.org/v2/everything?domains=morningbrew.com&amp;apiKey=ae2ad3e68d4e4daca149bbfb9b61c010</v>
      </c>
      <c r="N384" s="6">
        <v>1.0</v>
      </c>
      <c r="O384" s="6" t="s">
        <v>25</v>
      </c>
      <c r="P384" s="6"/>
      <c r="Q384" s="6">
        <v>1.0</v>
      </c>
      <c r="R384" s="6" t="s">
        <v>26</v>
      </c>
      <c r="S384" s="6" t="s">
        <v>27</v>
      </c>
      <c r="T384" s="6" t="s">
        <v>223</v>
      </c>
    </row>
    <row r="385">
      <c r="B385" s="6" t="s">
        <v>928</v>
      </c>
      <c r="C385" s="7" t="str">
        <f t="shared" si="1"/>
        <v/>
      </c>
      <c r="D385" s="7" t="s">
        <v>50</v>
      </c>
      <c r="E385" s="7">
        <v>1.0</v>
      </c>
      <c r="F385" s="7"/>
      <c r="G385" s="8" t="s">
        <v>929</v>
      </c>
      <c r="H385" s="9" t="str">
        <f t="shared" si="112"/>
        <v>https://www.motortrend.com</v>
      </c>
      <c r="I385" s="9" t="str">
        <f>IFERROR(__xludf.DUMMYFUNCTION("IF(REGEXMATCH(H385,""www""),RIGHT(H385,LEN(H385)-FIND(""."",H385)+0),if(regexmatch(H385,""https://""),right(H385,len(H385)-find(""/"",H385)-1),H385))"),"motortrend.com")</f>
        <v>motortrend.com</v>
      </c>
      <c r="J385" s="9" t="str">
        <f t="shared" si="113"/>
        <v>motortrend.com</v>
      </c>
      <c r="K385" s="9" t="s">
        <v>23</v>
      </c>
      <c r="L385" s="6" t="s">
        <v>176</v>
      </c>
      <c r="M385" s="8" t="str">
        <f t="shared" si="114"/>
        <v>https://newsapi.org/v2/everything?domains=motortrend.com&amp;apiKey=7d4cb29b783f48c8a1837901e959f134</v>
      </c>
      <c r="N385" s="6">
        <v>1.0</v>
      </c>
      <c r="O385" s="6" t="s">
        <v>25</v>
      </c>
      <c r="P385" s="6"/>
      <c r="Q385" s="6">
        <v>1.0</v>
      </c>
      <c r="R385" s="6" t="s">
        <v>26</v>
      </c>
      <c r="S385" s="6" t="s">
        <v>27</v>
      </c>
      <c r="T385" s="6" t="s">
        <v>374</v>
      </c>
    </row>
    <row r="386">
      <c r="B386" s="6" t="s">
        <v>930</v>
      </c>
      <c r="C386" s="7" t="str">
        <f t="shared" si="1"/>
        <v/>
      </c>
      <c r="D386" s="7" t="s">
        <v>20</v>
      </c>
      <c r="E386" s="7"/>
      <c r="F386" s="8" t="s">
        <v>931</v>
      </c>
      <c r="G386" s="8" t="s">
        <v>932</v>
      </c>
      <c r="H386" s="9" t="str">
        <f t="shared" si="112"/>
        <v>https://moviesfilmsandflix.com</v>
      </c>
      <c r="I386" s="9" t="str">
        <f>IFERROR(__xludf.DUMMYFUNCTION("IF(REGEXMATCH(H386,""www""),RIGHT(H386,LEN(H386)-FIND(""."",H386)+0),if(regexmatch(H386,""https://""),right(H386,len(H386)-find(""/"",H386)-1),H386))"),"moviesfilmsandflix.com")</f>
        <v>moviesfilmsandflix.com</v>
      </c>
      <c r="J386" s="9" t="str">
        <f t="shared" si="113"/>
        <v>moviesfilmsandflix.com</v>
      </c>
      <c r="K386" s="9" t="s">
        <v>23</v>
      </c>
      <c r="L386" s="6" t="s">
        <v>176</v>
      </c>
      <c r="M386" s="8" t="str">
        <f t="shared" si="114"/>
        <v>https://newsapi.org/v2/everything?domains=moviesfilmsandflix.com&amp;apiKey=7d4cb29b783f48c8a1837901e959f134</v>
      </c>
      <c r="N386" s="6">
        <v>0.0</v>
      </c>
      <c r="O386" s="6" t="s">
        <v>39</v>
      </c>
      <c r="P386" s="6"/>
      <c r="Q386" s="6">
        <v>1.0</v>
      </c>
      <c r="R386" s="6" t="s">
        <v>26</v>
      </c>
      <c r="S386" s="6" t="s">
        <v>27</v>
      </c>
      <c r="T386" s="6" t="s">
        <v>90</v>
      </c>
    </row>
    <row r="387">
      <c r="B387" s="6" t="s">
        <v>933</v>
      </c>
      <c r="C387" s="7" t="str">
        <f t="shared" si="1"/>
        <v/>
      </c>
      <c r="D387" s="7" t="s">
        <v>20</v>
      </c>
      <c r="E387" s="7"/>
      <c r="F387" s="8" t="s">
        <v>934</v>
      </c>
      <c r="G387" s="8" t="s">
        <v>935</v>
      </c>
      <c r="H387" s="9" t="str">
        <f t="shared" si="112"/>
        <v>https://moz.com/blo</v>
      </c>
      <c r="I387" s="9" t="str">
        <f>IFERROR(__xludf.DUMMYFUNCTION("IF(REGEXMATCH(H387,""www""),RIGHT(H387,LEN(H387)-FIND(""."",H387)+0),if(regexmatch(H387,""https://""),right(H387,len(H387)-find(""/"",H387)-1),H387))"),"moz.com/blo")</f>
        <v>moz.com/blo</v>
      </c>
      <c r="J387" s="9" t="str">
        <f t="shared" si="113"/>
        <v>moz.com/blo</v>
      </c>
      <c r="K387" s="9" t="s">
        <v>23</v>
      </c>
      <c r="L387" s="6" t="s">
        <v>24</v>
      </c>
      <c r="M387" s="8" t="str">
        <f t="shared" si="114"/>
        <v>https://newsapi.org/v2/everything?domains=moz.com/blo&amp;apiKey=ae2ad3e68d4e4daca149bbfb9b61c010</v>
      </c>
      <c r="N387" s="6">
        <v>0.0</v>
      </c>
      <c r="O387" s="6" t="s">
        <v>39</v>
      </c>
      <c r="P387" s="6"/>
      <c r="Q387" s="6">
        <v>1.0</v>
      </c>
      <c r="R387" s="6" t="s">
        <v>26</v>
      </c>
      <c r="S387" s="6" t="s">
        <v>27</v>
      </c>
      <c r="T387" s="6" t="s">
        <v>329</v>
      </c>
    </row>
    <row r="388">
      <c r="B388" s="6" t="s">
        <v>936</v>
      </c>
      <c r="C388" s="7" t="str">
        <f t="shared" si="1"/>
        <v/>
      </c>
      <c r="D388" s="7" t="s">
        <v>50</v>
      </c>
      <c r="E388" s="7">
        <v>16.0</v>
      </c>
      <c r="F388" s="7"/>
      <c r="G388" s="11" t="s">
        <v>937</v>
      </c>
      <c r="H388" s="9" t="str">
        <f t="shared" si="112"/>
        <v>https://mubi.com</v>
      </c>
      <c r="I388" s="9" t="str">
        <f>IFERROR(__xludf.DUMMYFUNCTION("IF(REGEXMATCH(H388,""www""),RIGHT(H388,LEN(H388)-FIND(""."",H388)+0),if(regexmatch(H388,""https://""),right(H388,len(H388)-find(""/"",H388)-1),H388))"),"mubi.com")</f>
        <v>mubi.com</v>
      </c>
      <c r="J388" s="9" t="str">
        <f t="shared" si="113"/>
        <v>mubi.com</v>
      </c>
      <c r="K388" s="9" t="s">
        <v>23</v>
      </c>
      <c r="L388" s="6" t="s">
        <v>176</v>
      </c>
      <c r="M388" s="8" t="str">
        <f t="shared" si="114"/>
        <v>https://newsapi.org/v2/everything?domains=mubi.com&amp;apiKey=7d4cb29b783f48c8a1837901e959f134</v>
      </c>
      <c r="N388" s="6">
        <v>1.0</v>
      </c>
      <c r="O388" s="6" t="s">
        <v>25</v>
      </c>
      <c r="P388" s="6"/>
      <c r="Q388" s="6">
        <v>1.0</v>
      </c>
      <c r="R388" s="6" t="s">
        <v>26</v>
      </c>
      <c r="S388" s="6" t="s">
        <v>27</v>
      </c>
      <c r="T388" s="6" t="s">
        <v>90</v>
      </c>
    </row>
    <row r="389">
      <c r="B389" s="6" t="s">
        <v>938</v>
      </c>
      <c r="C389" s="7" t="str">
        <f t="shared" si="1"/>
        <v/>
      </c>
      <c r="D389" s="7" t="s">
        <v>20</v>
      </c>
      <c r="E389" s="7"/>
      <c r="F389" s="8" t="s">
        <v>939</v>
      </c>
      <c r="G389" s="8" t="s">
        <v>940</v>
      </c>
      <c r="H389" s="9" t="str">
        <f t="shared" si="112"/>
        <v>https://www.nasa.gov</v>
      </c>
      <c r="I389" s="9" t="str">
        <f>IFERROR(__xludf.DUMMYFUNCTION("IF(REGEXMATCH(H389,""www""),RIGHT(H389,LEN(H389)-FIND(""."",H389)+0),if(regexmatch(H389,""https://""),right(H389,len(H389)-find(""/"",H389)-1),H389))"),"nasa.gov")</f>
        <v>nasa.gov</v>
      </c>
      <c r="J389" s="9" t="str">
        <f t="shared" si="113"/>
        <v>nasa.gov</v>
      </c>
      <c r="K389" s="9" t="s">
        <v>23</v>
      </c>
      <c r="L389" s="6" t="s">
        <v>176</v>
      </c>
      <c r="M389" s="8" t="str">
        <f t="shared" si="114"/>
        <v>https://newsapi.org/v2/everything?domains=nasa.gov&amp;apiKey=7d4cb29b783f48c8a1837901e959f134</v>
      </c>
      <c r="N389" s="6">
        <v>1.0</v>
      </c>
      <c r="O389" s="6" t="s">
        <v>25</v>
      </c>
      <c r="P389" s="6"/>
      <c r="Q389" s="6">
        <v>1.0</v>
      </c>
      <c r="R389" s="6" t="s">
        <v>26</v>
      </c>
      <c r="S389" s="6" t="s">
        <v>27</v>
      </c>
      <c r="T389" s="6" t="s">
        <v>64</v>
      </c>
    </row>
    <row r="390">
      <c r="B390" s="6" t="s">
        <v>941</v>
      </c>
      <c r="C390" s="7" t="str">
        <f t="shared" si="1"/>
        <v/>
      </c>
      <c r="D390" s="7" t="s">
        <v>30</v>
      </c>
      <c r="E390" s="7"/>
      <c r="F390" s="8" t="s">
        <v>942</v>
      </c>
      <c r="G390" s="8" t="s">
        <v>943</v>
      </c>
      <c r="H390" s="9" t="str">
        <f t="shared" si="112"/>
        <v>https://www.nasaspaceflight.com</v>
      </c>
      <c r="I390" s="9" t="str">
        <f>IFERROR(__xludf.DUMMYFUNCTION("IF(REGEXMATCH(H390,""www""),RIGHT(H390,LEN(H390)-FIND(""."",H390)+0),if(regexmatch(H390,""https://""),right(H390,len(H390)-find(""/"",H390)-1),H390))"),"nasaspaceflight.com")</f>
        <v>nasaspaceflight.com</v>
      </c>
      <c r="J390" s="9" t="str">
        <f t="shared" si="113"/>
        <v>nasaspaceflight.com</v>
      </c>
      <c r="K390" s="9" t="s">
        <v>23</v>
      </c>
      <c r="L390" s="6" t="s">
        <v>176</v>
      </c>
      <c r="M390" s="8" t="str">
        <f t="shared" si="114"/>
        <v>https://newsapi.org/v2/everything?domains=nasaspaceflight.com&amp;apiKey=7d4cb29b783f48c8a1837901e959f134</v>
      </c>
      <c r="N390" s="6">
        <v>1.0</v>
      </c>
      <c r="O390" s="6" t="s">
        <v>25</v>
      </c>
      <c r="P390" s="6"/>
      <c r="Q390" s="6">
        <v>1.0</v>
      </c>
      <c r="R390" s="6" t="s">
        <v>26</v>
      </c>
      <c r="S390" s="6" t="s">
        <v>27</v>
      </c>
      <c r="T390" s="6" t="s">
        <v>64</v>
      </c>
    </row>
    <row r="391">
      <c r="B391" s="6" t="s">
        <v>944</v>
      </c>
      <c r="C391" s="7" t="str">
        <f t="shared" si="1"/>
        <v/>
      </c>
      <c r="D391" s="7" t="s">
        <v>50</v>
      </c>
      <c r="E391" s="7">
        <v>100.0</v>
      </c>
      <c r="F391" s="7"/>
      <c r="G391" s="8" t="s">
        <v>945</v>
      </c>
      <c r="H391" s="9" t="str">
        <f t="shared" si="112"/>
        <v>https://www.nature.com</v>
      </c>
      <c r="I391" s="9" t="str">
        <f>IFERROR(__xludf.DUMMYFUNCTION("IF(REGEXMATCH(H391,""www""),RIGHT(H391,LEN(H391)-FIND(""."",H391)+0),if(regexmatch(H391,""https://""),right(H391,len(H391)-find(""/"",H391)-1),H391))"),"nature.com")</f>
        <v>nature.com</v>
      </c>
      <c r="J391" s="9" t="str">
        <f t="shared" si="113"/>
        <v>nature.com</v>
      </c>
      <c r="K391" s="9" t="s">
        <v>23</v>
      </c>
      <c r="L391" s="6" t="s">
        <v>176</v>
      </c>
      <c r="M391" s="8" t="str">
        <f t="shared" si="114"/>
        <v>https://newsapi.org/v2/everything?domains=nature.com&amp;apiKey=7d4cb29b783f48c8a1837901e959f134</v>
      </c>
      <c r="N391" s="6">
        <v>1.0</v>
      </c>
      <c r="O391" s="6" t="s">
        <v>25</v>
      </c>
      <c r="P391" s="6">
        <v>4.0</v>
      </c>
      <c r="Q391" s="6">
        <v>1.0</v>
      </c>
      <c r="R391" s="6" t="s">
        <v>26</v>
      </c>
      <c r="S391" s="6" t="s">
        <v>27</v>
      </c>
      <c r="T391" s="6" t="s">
        <v>101</v>
      </c>
    </row>
    <row r="392">
      <c r="B392" s="6" t="s">
        <v>946</v>
      </c>
      <c r="C392" s="7" t="str">
        <f t="shared" si="1"/>
        <v>Nautilus</v>
      </c>
      <c r="D392" s="12" t="s">
        <v>30</v>
      </c>
      <c r="E392" s="12"/>
      <c r="F392" s="11" t="s">
        <v>947</v>
      </c>
      <c r="G392" s="12"/>
      <c r="H392" s="10"/>
      <c r="I392" s="10"/>
      <c r="J392" s="10"/>
      <c r="K392" s="10"/>
      <c r="L392" s="6"/>
      <c r="M392" s="7"/>
      <c r="N392" s="6">
        <v>0.0</v>
      </c>
      <c r="O392" s="6" t="s">
        <v>25</v>
      </c>
      <c r="P392" s="6"/>
      <c r="Q392" s="6">
        <v>1.0</v>
      </c>
      <c r="R392" s="6" t="s">
        <v>26</v>
      </c>
      <c r="S392" s="6" t="s">
        <v>27</v>
      </c>
      <c r="T392" s="6" t="s">
        <v>56</v>
      </c>
    </row>
    <row r="393">
      <c r="B393" s="6" t="s">
        <v>948</v>
      </c>
      <c r="C393" s="7" t="str">
        <f t="shared" si="1"/>
        <v>Nautilus</v>
      </c>
      <c r="D393" s="12" t="s">
        <v>30</v>
      </c>
      <c r="E393" s="12"/>
      <c r="F393" s="11" t="s">
        <v>949</v>
      </c>
      <c r="G393" s="12"/>
      <c r="H393" s="10"/>
      <c r="I393" s="10"/>
      <c r="J393" s="10"/>
      <c r="K393" s="10"/>
      <c r="L393" s="6"/>
      <c r="M393" s="7"/>
      <c r="N393" s="6">
        <v>0.0</v>
      </c>
      <c r="O393" s="6" t="s">
        <v>25</v>
      </c>
      <c r="P393" s="6"/>
      <c r="Q393" s="6">
        <v>1.0</v>
      </c>
      <c r="R393" s="6" t="s">
        <v>26</v>
      </c>
      <c r="S393" s="6" t="s">
        <v>27</v>
      </c>
      <c r="T393" s="6" t="s">
        <v>67</v>
      </c>
    </row>
    <row r="394">
      <c r="B394" s="6" t="s">
        <v>950</v>
      </c>
      <c r="C394" s="7" t="str">
        <f t="shared" si="1"/>
        <v>Nautilus</v>
      </c>
      <c r="D394" s="12" t="s">
        <v>30</v>
      </c>
      <c r="E394" s="12"/>
      <c r="F394" s="11" t="s">
        <v>951</v>
      </c>
      <c r="G394" s="12"/>
      <c r="H394" s="10"/>
      <c r="I394" s="10"/>
      <c r="J394" s="10"/>
      <c r="K394" s="10"/>
      <c r="L394" s="6"/>
      <c r="M394" s="7"/>
      <c r="N394" s="6">
        <v>0.0</v>
      </c>
      <c r="O394" s="6" t="s">
        <v>25</v>
      </c>
      <c r="P394" s="6"/>
      <c r="Q394" s="6">
        <v>1.0</v>
      </c>
      <c r="R394" s="6" t="s">
        <v>26</v>
      </c>
      <c r="S394" s="6" t="s">
        <v>27</v>
      </c>
      <c r="T394" s="6" t="s">
        <v>64</v>
      </c>
    </row>
    <row r="395">
      <c r="B395" s="6" t="s">
        <v>952</v>
      </c>
      <c r="C395" s="7" t="str">
        <f t="shared" si="1"/>
        <v>Nautilus</v>
      </c>
      <c r="D395" s="12" t="s">
        <v>30</v>
      </c>
      <c r="E395" s="12"/>
      <c r="F395" s="11" t="s">
        <v>953</v>
      </c>
      <c r="G395" s="12"/>
      <c r="H395" s="10"/>
      <c r="I395" s="10"/>
      <c r="J395" s="10"/>
      <c r="K395" s="10"/>
      <c r="L395" s="6"/>
      <c r="M395" s="7"/>
      <c r="N395" s="6">
        <v>0.0</v>
      </c>
      <c r="O395" s="6" t="s">
        <v>25</v>
      </c>
      <c r="P395" s="6"/>
      <c r="Q395" s="6">
        <v>1.0</v>
      </c>
      <c r="R395" s="6" t="s">
        <v>26</v>
      </c>
      <c r="S395" s="6" t="s">
        <v>27</v>
      </c>
      <c r="T395" s="6" t="s">
        <v>131</v>
      </c>
    </row>
    <row r="396">
      <c r="B396" s="6" t="s">
        <v>954</v>
      </c>
      <c r="C396" s="7" t="str">
        <f t="shared" si="1"/>
        <v>Nautilus</v>
      </c>
      <c r="D396" s="12" t="s">
        <v>30</v>
      </c>
      <c r="E396" s="12"/>
      <c r="F396" s="11" t="s">
        <v>955</v>
      </c>
      <c r="G396" s="12"/>
      <c r="H396" s="10"/>
      <c r="I396" s="10"/>
      <c r="J396" s="10"/>
      <c r="K396" s="10"/>
      <c r="L396" s="6"/>
      <c r="M396" s="7"/>
      <c r="N396" s="6">
        <v>0.0</v>
      </c>
      <c r="O396" s="6" t="s">
        <v>25</v>
      </c>
      <c r="P396" s="6"/>
      <c r="Q396" s="6">
        <v>1.0</v>
      </c>
      <c r="R396" s="6" t="s">
        <v>26</v>
      </c>
      <c r="S396" s="6" t="s">
        <v>27</v>
      </c>
      <c r="T396" s="6" t="s">
        <v>248</v>
      </c>
    </row>
    <row r="397">
      <c r="B397" s="6" t="s">
        <v>956</v>
      </c>
      <c r="C397" s="7" t="str">
        <f t="shared" si="1"/>
        <v>Nautilus</v>
      </c>
      <c r="D397" s="12" t="s">
        <v>30</v>
      </c>
      <c r="E397" s="12"/>
      <c r="F397" s="11" t="s">
        <v>957</v>
      </c>
      <c r="G397" s="12"/>
      <c r="H397" s="10"/>
      <c r="I397" s="10"/>
      <c r="J397" s="10"/>
      <c r="K397" s="10"/>
      <c r="L397" s="6"/>
      <c r="M397" s="7"/>
      <c r="N397" s="6">
        <v>0.0</v>
      </c>
      <c r="O397" s="6" t="s">
        <v>25</v>
      </c>
      <c r="P397" s="6"/>
      <c r="Q397" s="6">
        <v>1.0</v>
      </c>
      <c r="R397" s="6" t="s">
        <v>26</v>
      </c>
      <c r="S397" s="6" t="s">
        <v>27</v>
      </c>
      <c r="T397" s="6" t="s">
        <v>85</v>
      </c>
    </row>
    <row r="398">
      <c r="B398" s="6" t="s">
        <v>958</v>
      </c>
      <c r="C398" s="7" t="str">
        <f t="shared" si="1"/>
        <v>Nautilus</v>
      </c>
      <c r="D398" s="12" t="s">
        <v>30</v>
      </c>
      <c r="E398" s="12"/>
      <c r="F398" s="11" t="s">
        <v>959</v>
      </c>
      <c r="G398" s="12"/>
      <c r="H398" s="10"/>
      <c r="I398" s="10"/>
      <c r="J398" s="10"/>
      <c r="K398" s="10"/>
      <c r="L398" s="6"/>
      <c r="M398" s="7"/>
      <c r="N398" s="6">
        <v>0.0</v>
      </c>
      <c r="O398" s="6" t="s">
        <v>25</v>
      </c>
      <c r="P398" s="6"/>
      <c r="Q398" s="6">
        <v>1.0</v>
      </c>
      <c r="R398" s="6" t="s">
        <v>26</v>
      </c>
      <c r="S398" s="6" t="s">
        <v>27</v>
      </c>
      <c r="T398" s="6" t="s">
        <v>131</v>
      </c>
    </row>
    <row r="399">
      <c r="B399" s="6" t="s">
        <v>960</v>
      </c>
      <c r="C399" s="7" t="str">
        <f t="shared" si="1"/>
        <v>Nautilus</v>
      </c>
      <c r="D399" s="12" t="s">
        <v>30</v>
      </c>
      <c r="E399" s="12"/>
      <c r="F399" s="11" t="s">
        <v>961</v>
      </c>
      <c r="G399" s="12"/>
      <c r="H399" s="10"/>
      <c r="I399" s="10"/>
      <c r="J399" s="10"/>
      <c r="K399" s="10"/>
      <c r="L399" s="6"/>
      <c r="M399" s="7"/>
      <c r="N399" s="6">
        <v>0.0</v>
      </c>
      <c r="O399" s="6" t="s">
        <v>25</v>
      </c>
      <c r="P399" s="6"/>
      <c r="Q399" s="6">
        <v>1.0</v>
      </c>
      <c r="R399" s="6" t="s">
        <v>26</v>
      </c>
      <c r="S399" s="6" t="s">
        <v>27</v>
      </c>
      <c r="T399" s="6" t="s">
        <v>131</v>
      </c>
    </row>
    <row r="400">
      <c r="B400" s="6" t="s">
        <v>962</v>
      </c>
      <c r="C400" s="7" t="str">
        <f t="shared" si="1"/>
        <v>Nautilus</v>
      </c>
      <c r="D400" s="12" t="s">
        <v>30</v>
      </c>
      <c r="E400" s="12"/>
      <c r="F400" s="11" t="s">
        <v>963</v>
      </c>
      <c r="G400" s="12"/>
      <c r="H400" s="10"/>
      <c r="I400" s="10"/>
      <c r="J400" s="10"/>
      <c r="K400" s="10"/>
      <c r="L400" s="6"/>
      <c r="M400" s="7"/>
      <c r="N400" s="6">
        <v>0.0</v>
      </c>
      <c r="O400" s="6" t="s">
        <v>25</v>
      </c>
      <c r="P400" s="6"/>
      <c r="Q400" s="6">
        <v>1.0</v>
      </c>
      <c r="R400" s="6" t="s">
        <v>26</v>
      </c>
      <c r="S400" s="6" t="s">
        <v>27</v>
      </c>
      <c r="T400" s="6" t="s">
        <v>131</v>
      </c>
    </row>
    <row r="401">
      <c r="B401" s="6" t="s">
        <v>964</v>
      </c>
      <c r="C401" s="7" t="str">
        <f t="shared" si="1"/>
        <v>Nautilus</v>
      </c>
      <c r="D401" s="12" t="s">
        <v>30</v>
      </c>
      <c r="E401" s="12"/>
      <c r="F401" s="11" t="s">
        <v>965</v>
      </c>
      <c r="G401" s="12"/>
      <c r="H401" s="10"/>
      <c r="I401" s="10"/>
      <c r="J401" s="10"/>
      <c r="K401" s="10"/>
      <c r="L401" s="6"/>
      <c r="M401" s="7"/>
      <c r="N401" s="6">
        <v>0.0</v>
      </c>
      <c r="O401" s="6" t="s">
        <v>25</v>
      </c>
      <c r="P401" s="6"/>
      <c r="Q401" s="6">
        <v>1.0</v>
      </c>
      <c r="R401" s="6" t="s">
        <v>26</v>
      </c>
      <c r="S401" s="6" t="s">
        <v>27</v>
      </c>
      <c r="T401" s="6" t="s">
        <v>101</v>
      </c>
    </row>
    <row r="402">
      <c r="B402" s="6" t="s">
        <v>966</v>
      </c>
      <c r="C402" s="7" t="str">
        <f t="shared" si="1"/>
        <v>Nautilus</v>
      </c>
      <c r="D402" s="12" t="s">
        <v>30</v>
      </c>
      <c r="E402" s="12"/>
      <c r="F402" s="11" t="s">
        <v>967</v>
      </c>
      <c r="G402" s="12"/>
      <c r="H402" s="10"/>
      <c r="I402" s="10"/>
      <c r="J402" s="10"/>
      <c r="K402" s="10"/>
      <c r="L402" s="6"/>
      <c r="M402" s="7"/>
      <c r="N402" s="6">
        <v>0.0</v>
      </c>
      <c r="O402" s="6" t="s">
        <v>25</v>
      </c>
      <c r="P402" s="6"/>
      <c r="Q402" s="6">
        <v>1.0</v>
      </c>
      <c r="R402" s="6" t="s">
        <v>26</v>
      </c>
      <c r="S402" s="6" t="s">
        <v>27</v>
      </c>
      <c r="T402" s="6" t="s">
        <v>56</v>
      </c>
    </row>
    <row r="403">
      <c r="B403" s="6" t="s">
        <v>968</v>
      </c>
      <c r="C403" s="7" t="str">
        <f t="shared" si="1"/>
        <v>Nautilus</v>
      </c>
      <c r="D403" s="12" t="s">
        <v>30</v>
      </c>
      <c r="E403" s="12"/>
      <c r="F403" s="11" t="s">
        <v>969</v>
      </c>
      <c r="G403" s="12"/>
      <c r="H403" s="10"/>
      <c r="I403" s="10"/>
      <c r="J403" s="10"/>
      <c r="K403" s="10"/>
      <c r="L403" s="6"/>
      <c r="M403" s="7"/>
      <c r="N403" s="6">
        <v>0.0</v>
      </c>
      <c r="O403" s="6" t="s">
        <v>25</v>
      </c>
      <c r="P403" s="6"/>
      <c r="Q403" s="6">
        <v>1.0</v>
      </c>
      <c r="R403" s="6" t="s">
        <v>26</v>
      </c>
      <c r="S403" s="6" t="s">
        <v>27</v>
      </c>
      <c r="T403" s="6" t="s">
        <v>131</v>
      </c>
    </row>
    <row r="404">
      <c r="B404" s="6" t="s">
        <v>970</v>
      </c>
      <c r="C404" s="7" t="str">
        <f t="shared" si="1"/>
        <v>Nautilus</v>
      </c>
      <c r="D404" s="12" t="s">
        <v>30</v>
      </c>
      <c r="E404" s="12"/>
      <c r="F404" s="11" t="s">
        <v>971</v>
      </c>
      <c r="G404" s="12"/>
      <c r="H404" s="10"/>
      <c r="I404" s="10"/>
      <c r="J404" s="10"/>
      <c r="K404" s="10"/>
      <c r="L404" s="6"/>
      <c r="M404" s="7"/>
      <c r="N404" s="6">
        <v>0.0</v>
      </c>
      <c r="O404" s="6" t="s">
        <v>25</v>
      </c>
      <c r="P404" s="6"/>
      <c r="Q404" s="6">
        <v>1.0</v>
      </c>
      <c r="R404" s="6" t="s">
        <v>26</v>
      </c>
      <c r="S404" s="6" t="s">
        <v>27</v>
      </c>
      <c r="T404" s="6" t="s">
        <v>73</v>
      </c>
    </row>
    <row r="405">
      <c r="B405" s="6" t="s">
        <v>972</v>
      </c>
      <c r="C405" s="7" t="str">
        <f t="shared" si="1"/>
        <v>Nautilus</v>
      </c>
      <c r="D405" s="12" t="s">
        <v>30</v>
      </c>
      <c r="E405" s="12"/>
      <c r="F405" s="11" t="s">
        <v>973</v>
      </c>
      <c r="G405" s="12"/>
      <c r="H405" s="10"/>
      <c r="I405" s="10"/>
      <c r="J405" s="10"/>
      <c r="K405" s="10"/>
      <c r="L405" s="6"/>
      <c r="M405" s="7"/>
      <c r="N405" s="6">
        <v>0.0</v>
      </c>
      <c r="O405" s="6" t="s">
        <v>25</v>
      </c>
      <c r="P405" s="6"/>
      <c r="Q405" s="6">
        <v>1.0</v>
      </c>
      <c r="R405" s="6" t="s">
        <v>26</v>
      </c>
      <c r="S405" s="6" t="s">
        <v>27</v>
      </c>
      <c r="T405" s="6" t="s">
        <v>101</v>
      </c>
    </row>
    <row r="406">
      <c r="B406" s="6" t="s">
        <v>974</v>
      </c>
      <c r="C406" s="7" t="str">
        <f t="shared" si="1"/>
        <v>Nautilus</v>
      </c>
      <c r="D406" s="12" t="s">
        <v>30</v>
      </c>
      <c r="E406" s="12"/>
      <c r="F406" s="11" t="s">
        <v>975</v>
      </c>
      <c r="G406" s="12"/>
      <c r="H406" s="10"/>
      <c r="I406" s="10"/>
      <c r="J406" s="10"/>
      <c r="K406" s="10"/>
      <c r="L406" s="6"/>
      <c r="M406" s="7"/>
      <c r="N406" s="6">
        <v>0.0</v>
      </c>
      <c r="O406" s="6" t="s">
        <v>25</v>
      </c>
      <c r="P406" s="6"/>
      <c r="Q406" s="6">
        <v>1.0</v>
      </c>
      <c r="R406" s="6" t="s">
        <v>26</v>
      </c>
      <c r="S406" s="6" t="s">
        <v>27</v>
      </c>
      <c r="T406" s="6" t="s">
        <v>56</v>
      </c>
    </row>
    <row r="407">
      <c r="B407" s="6" t="s">
        <v>976</v>
      </c>
      <c r="C407" s="7" t="str">
        <f t="shared" si="1"/>
        <v>Nautilus</v>
      </c>
      <c r="D407" s="12" t="s">
        <v>30</v>
      </c>
      <c r="E407" s="12"/>
      <c r="F407" s="11" t="s">
        <v>977</v>
      </c>
      <c r="G407" s="12"/>
      <c r="H407" s="10"/>
      <c r="I407" s="10"/>
      <c r="J407" s="10"/>
      <c r="K407" s="10"/>
      <c r="L407" s="6"/>
      <c r="M407" s="7"/>
      <c r="N407" s="6">
        <v>0.0</v>
      </c>
      <c r="O407" s="6" t="s">
        <v>25</v>
      </c>
      <c r="P407" s="6"/>
      <c r="Q407" s="6">
        <v>1.0</v>
      </c>
      <c r="R407" s="6" t="s">
        <v>26</v>
      </c>
      <c r="S407" s="6" t="s">
        <v>27</v>
      </c>
      <c r="T407" s="6" t="s">
        <v>28</v>
      </c>
    </row>
    <row r="408">
      <c r="B408" s="6" t="s">
        <v>978</v>
      </c>
      <c r="C408" s="7" t="str">
        <f t="shared" si="1"/>
        <v>Nautilus</v>
      </c>
      <c r="D408" s="12" t="s">
        <v>30</v>
      </c>
      <c r="E408" s="12"/>
      <c r="F408" s="11" t="s">
        <v>979</v>
      </c>
      <c r="G408" s="12"/>
      <c r="H408" s="10"/>
      <c r="I408" s="10"/>
      <c r="J408" s="10"/>
      <c r="K408" s="10"/>
      <c r="L408" s="6"/>
      <c r="M408" s="7"/>
      <c r="N408" s="6">
        <v>0.0</v>
      </c>
      <c r="O408" s="6" t="s">
        <v>25</v>
      </c>
      <c r="P408" s="6"/>
      <c r="Q408" s="6">
        <v>1.0</v>
      </c>
      <c r="R408" s="6" t="s">
        <v>26</v>
      </c>
      <c r="S408" s="6" t="s">
        <v>27</v>
      </c>
      <c r="T408" s="6" t="s">
        <v>131</v>
      </c>
    </row>
    <row r="409">
      <c r="B409" s="6" t="s">
        <v>980</v>
      </c>
      <c r="C409" s="7" t="str">
        <f t="shared" si="1"/>
        <v>Nautilus</v>
      </c>
      <c r="D409" s="12" t="s">
        <v>30</v>
      </c>
      <c r="E409" s="12"/>
      <c r="F409" s="11" t="s">
        <v>981</v>
      </c>
      <c r="G409" s="12"/>
      <c r="H409" s="10"/>
      <c r="I409" s="10"/>
      <c r="J409" s="10"/>
      <c r="K409" s="10"/>
      <c r="L409" s="6"/>
      <c r="M409" s="7"/>
      <c r="N409" s="6">
        <v>0.0</v>
      </c>
      <c r="O409" s="6" t="s">
        <v>25</v>
      </c>
      <c r="P409" s="6"/>
      <c r="Q409" s="6">
        <v>1.0</v>
      </c>
      <c r="R409" s="6" t="s">
        <v>26</v>
      </c>
      <c r="S409" s="6" t="s">
        <v>27</v>
      </c>
      <c r="T409" s="6" t="s">
        <v>128</v>
      </c>
    </row>
    <row r="410">
      <c r="B410" s="6" t="s">
        <v>982</v>
      </c>
      <c r="C410" s="7" t="str">
        <f t="shared" si="1"/>
        <v>Nautilus</v>
      </c>
      <c r="D410" s="12" t="s">
        <v>30</v>
      </c>
      <c r="E410" s="12"/>
      <c r="F410" s="11" t="s">
        <v>983</v>
      </c>
      <c r="G410" s="12"/>
      <c r="H410" s="10"/>
      <c r="I410" s="10"/>
      <c r="J410" s="10"/>
      <c r="K410" s="10"/>
      <c r="L410" s="6"/>
      <c r="M410" s="7"/>
      <c r="N410" s="6">
        <v>0.0</v>
      </c>
      <c r="O410" s="6" t="s">
        <v>25</v>
      </c>
      <c r="P410" s="6"/>
      <c r="Q410" s="6">
        <v>1.0</v>
      </c>
      <c r="R410" s="6" t="s">
        <v>26</v>
      </c>
      <c r="S410" s="6" t="s">
        <v>27</v>
      </c>
      <c r="T410" s="6" t="s">
        <v>28</v>
      </c>
    </row>
    <row r="411">
      <c r="B411" s="6" t="s">
        <v>984</v>
      </c>
      <c r="C411" s="7" t="str">
        <f t="shared" si="1"/>
        <v>Nautilus</v>
      </c>
      <c r="D411" s="12" t="s">
        <v>30</v>
      </c>
      <c r="E411" s="12"/>
      <c r="F411" s="11" t="s">
        <v>985</v>
      </c>
      <c r="G411" s="12"/>
      <c r="H411" s="10"/>
      <c r="I411" s="10"/>
      <c r="J411" s="10"/>
      <c r="K411" s="10"/>
      <c r="L411" s="6"/>
      <c r="M411" s="7"/>
      <c r="N411" s="6">
        <v>0.0</v>
      </c>
      <c r="O411" s="6" t="s">
        <v>25</v>
      </c>
      <c r="P411" s="6"/>
      <c r="Q411" s="6">
        <v>1.0</v>
      </c>
      <c r="R411" s="6" t="s">
        <v>26</v>
      </c>
      <c r="S411" s="6" t="s">
        <v>27</v>
      </c>
      <c r="T411" s="6" t="s">
        <v>76</v>
      </c>
    </row>
    <row r="412">
      <c r="B412" s="6" t="s">
        <v>986</v>
      </c>
      <c r="C412" s="7" t="str">
        <f t="shared" si="1"/>
        <v>Nautilus</v>
      </c>
      <c r="D412" s="12" t="s">
        <v>30</v>
      </c>
      <c r="E412" s="12"/>
      <c r="F412" s="11" t="s">
        <v>987</v>
      </c>
      <c r="G412" s="12"/>
      <c r="H412" s="10"/>
      <c r="I412" s="10"/>
      <c r="J412" s="10"/>
      <c r="K412" s="10"/>
      <c r="L412" s="6"/>
      <c r="M412" s="7"/>
      <c r="N412" s="6">
        <v>0.0</v>
      </c>
      <c r="O412" s="6" t="s">
        <v>25</v>
      </c>
      <c r="P412" s="6"/>
      <c r="Q412" s="6">
        <v>1.0</v>
      </c>
      <c r="R412" s="6" t="s">
        <v>26</v>
      </c>
      <c r="S412" s="6" t="s">
        <v>27</v>
      </c>
      <c r="T412" s="6" t="s">
        <v>73</v>
      </c>
    </row>
    <row r="413">
      <c r="B413" s="6" t="s">
        <v>988</v>
      </c>
      <c r="C413" s="7" t="str">
        <f t="shared" si="1"/>
        <v/>
      </c>
      <c r="D413" s="7" t="s">
        <v>20</v>
      </c>
      <c r="E413" s="7"/>
      <c r="F413" s="8" t="s">
        <v>989</v>
      </c>
      <c r="G413" s="8" t="s">
        <v>990</v>
      </c>
      <c r="H413" s="9" t="str">
        <f t="shared" ref="H413:H415" si="115">LEFT(G413, LEN(G413)-1)</f>
        <v>https://www.nber.org</v>
      </c>
      <c r="I413" s="9" t="str">
        <f>IFERROR(__xludf.DUMMYFUNCTION("IF(REGEXMATCH(H413,""www""),RIGHT(H413,LEN(H413)-FIND(""."",H413)+0),if(regexmatch(H413,""https://""),right(H413,len(H413)-find(""/"",H413)-1),H413))"),"nber.org")</f>
        <v>nber.org</v>
      </c>
      <c r="J413" s="9" t="str">
        <f t="shared" ref="J413:J415" si="116">I413</f>
        <v>nber.org</v>
      </c>
      <c r="K413" s="9" t="s">
        <v>23</v>
      </c>
      <c r="L413" s="6" t="s">
        <v>176</v>
      </c>
      <c r="M413" s="8" t="str">
        <f t="shared" ref="M413:M415" si="117">K413&amp;J413&amp;L413</f>
        <v>https://newsapi.org/v2/everything?domains=nber.org&amp;apiKey=7d4cb29b783f48c8a1837901e959f134</v>
      </c>
      <c r="N413" s="6">
        <v>0.0</v>
      </c>
      <c r="O413" s="6" t="s">
        <v>25</v>
      </c>
      <c r="P413" s="6"/>
      <c r="Q413" s="6">
        <v>1.0</v>
      </c>
      <c r="R413" s="6" t="s">
        <v>26</v>
      </c>
      <c r="S413" s="6" t="s">
        <v>27</v>
      </c>
      <c r="T413" s="6" t="s">
        <v>248</v>
      </c>
    </row>
    <row r="414">
      <c r="B414" s="6" t="s">
        <v>991</v>
      </c>
      <c r="C414" s="7" t="str">
        <f t="shared" si="1"/>
        <v/>
      </c>
      <c r="D414" s="7" t="s">
        <v>30</v>
      </c>
      <c r="E414" s="12"/>
      <c r="F414" s="11" t="s">
        <v>992</v>
      </c>
      <c r="G414" s="11" t="s">
        <v>993</v>
      </c>
      <c r="H414" s="9" t="str">
        <f t="shared" si="115"/>
        <v>https://www.neh.gov</v>
      </c>
      <c r="I414" s="9" t="str">
        <f>IFERROR(__xludf.DUMMYFUNCTION("IF(REGEXMATCH(H414,""www""),RIGHT(H414,LEN(H414)-FIND(""."",H414)+0),if(regexmatch(H414,""https://""),right(H414,len(H414)-find(""/"",H414)-1),H414))"),"neh.gov")</f>
        <v>neh.gov</v>
      </c>
      <c r="J414" s="9" t="str">
        <f t="shared" si="116"/>
        <v>neh.gov</v>
      </c>
      <c r="K414" s="9" t="s">
        <v>23</v>
      </c>
      <c r="L414" s="6" t="s">
        <v>176</v>
      </c>
      <c r="M414" s="8" t="str">
        <f t="shared" si="117"/>
        <v>https://newsapi.org/v2/everything?domains=neh.gov&amp;apiKey=7d4cb29b783f48c8a1837901e959f134</v>
      </c>
      <c r="N414" s="6">
        <v>0.0</v>
      </c>
      <c r="O414" s="6" t="s">
        <v>25</v>
      </c>
      <c r="P414" s="6"/>
      <c r="Q414" s="6">
        <v>1.0</v>
      </c>
      <c r="R414" s="6" t="s">
        <v>26</v>
      </c>
      <c r="S414" s="6" t="s">
        <v>27</v>
      </c>
      <c r="T414" s="6" t="s">
        <v>67</v>
      </c>
    </row>
    <row r="415">
      <c r="B415" s="6" t="s">
        <v>994</v>
      </c>
      <c r="C415" s="7" t="str">
        <f t="shared" si="1"/>
        <v/>
      </c>
      <c r="D415" s="7" t="s">
        <v>20</v>
      </c>
      <c r="E415" s="7"/>
      <c r="F415" s="8" t="s">
        <v>995</v>
      </c>
      <c r="G415" s="11" t="s">
        <v>996</v>
      </c>
      <c r="H415" s="9" t="str">
        <f t="shared" si="115"/>
        <v>http://neilvn.com</v>
      </c>
      <c r="I415" s="9" t="str">
        <f>IFERROR(__xludf.DUMMYFUNCTION("IF(REGEXMATCH(H415,""www""),RIGHT(H415,LEN(H415)-FIND(""."",H415)+0),if(regexmatch(H415,""https://""),right(H415,len(H415)-find(""/"",H415)-1),H415))"),"http://neilvn.com")</f>
        <v>http://neilvn.com</v>
      </c>
      <c r="J415" s="9" t="str">
        <f t="shared" si="116"/>
        <v>http://neilvn.com</v>
      </c>
      <c r="K415" s="9" t="s">
        <v>23</v>
      </c>
      <c r="L415" s="6" t="s">
        <v>24</v>
      </c>
      <c r="M415" s="8" t="str">
        <f t="shared" si="117"/>
        <v>https://newsapi.org/v2/everything?domains=http://neilvn.com&amp;apiKey=ae2ad3e68d4e4daca149bbfb9b61c010</v>
      </c>
      <c r="N415" s="6">
        <v>0.0</v>
      </c>
      <c r="O415" s="6" t="s">
        <v>39</v>
      </c>
      <c r="P415" s="6"/>
      <c r="Q415" s="6">
        <v>1.0</v>
      </c>
      <c r="R415" s="6" t="s">
        <v>26</v>
      </c>
      <c r="S415" s="6" t="s">
        <v>27</v>
      </c>
      <c r="T415" s="6" t="s">
        <v>333</v>
      </c>
    </row>
    <row r="416">
      <c r="B416" s="6" t="s">
        <v>997</v>
      </c>
      <c r="C416" s="7" t="str">
        <f t="shared" si="1"/>
        <v/>
      </c>
      <c r="D416" s="16" t="s">
        <v>20</v>
      </c>
      <c r="E416" s="12"/>
      <c r="F416" s="11" t="s">
        <v>998</v>
      </c>
      <c r="G416" s="7"/>
      <c r="M416" s="1"/>
      <c r="N416" s="6">
        <v>0.0</v>
      </c>
      <c r="O416" s="6" t="s">
        <v>43</v>
      </c>
      <c r="P416" s="6"/>
      <c r="Q416" s="6">
        <v>1.0</v>
      </c>
      <c r="R416" s="6" t="s">
        <v>26</v>
      </c>
      <c r="S416" s="6" t="s">
        <v>27</v>
      </c>
      <c r="T416" s="6" t="s">
        <v>56</v>
      </c>
    </row>
    <row r="417">
      <c r="B417" s="6" t="s">
        <v>999</v>
      </c>
      <c r="C417" s="7" t="str">
        <f t="shared" si="1"/>
        <v/>
      </c>
      <c r="D417" s="7" t="s">
        <v>20</v>
      </c>
      <c r="E417" s="7"/>
      <c r="F417" s="8" t="s">
        <v>1000</v>
      </c>
      <c r="G417" s="8" t="s">
        <v>1001</v>
      </c>
      <c r="H417" s="9" t="str">
        <f t="shared" ref="H417:H421" si="118">LEFT(G417, LEN(G417)-1)</f>
        <v>https://www.newappsblog.com</v>
      </c>
      <c r="I417" s="9" t="str">
        <f>IFERROR(__xludf.DUMMYFUNCTION("IF(REGEXMATCH(H417,""www""),RIGHT(H417,LEN(H417)-FIND(""."",H417)+0),if(regexmatch(H417,""https://""),right(H417,len(H417)-find(""/"",H417)-1),H417))"),"newappsblog.com")</f>
        <v>newappsblog.com</v>
      </c>
      <c r="J417" s="9" t="str">
        <f t="shared" ref="J417:J421" si="119">I417</f>
        <v>newappsblog.com</v>
      </c>
      <c r="K417" s="9" t="s">
        <v>23</v>
      </c>
      <c r="L417" s="6" t="s">
        <v>176</v>
      </c>
      <c r="M417" s="8" t="str">
        <f t="shared" ref="M417:M421" si="120">K417&amp;J417&amp;L417</f>
        <v>https://newsapi.org/v2/everything?domains=newappsblog.com&amp;apiKey=7d4cb29b783f48c8a1837901e959f134</v>
      </c>
      <c r="N417" s="6">
        <v>1.0</v>
      </c>
      <c r="O417" s="6" t="s">
        <v>39</v>
      </c>
      <c r="P417" s="6"/>
      <c r="Q417" s="6">
        <v>1.0</v>
      </c>
      <c r="R417" s="6" t="s">
        <v>26</v>
      </c>
      <c r="S417" s="6" t="s">
        <v>27</v>
      </c>
      <c r="T417" s="6" t="s">
        <v>28</v>
      </c>
    </row>
    <row r="418">
      <c r="B418" s="6" t="s">
        <v>1002</v>
      </c>
      <c r="C418" s="7" t="str">
        <f t="shared" si="1"/>
        <v/>
      </c>
      <c r="D418" s="7" t="s">
        <v>30</v>
      </c>
      <c r="E418" s="7"/>
      <c r="F418" s="8" t="s">
        <v>1003</v>
      </c>
      <c r="G418" s="8" t="s">
        <v>1004</v>
      </c>
      <c r="H418" s="9" t="str">
        <f t="shared" si="118"/>
        <v>https://newlinesmag.com</v>
      </c>
      <c r="I418" s="9" t="str">
        <f>IFERROR(__xludf.DUMMYFUNCTION("IF(REGEXMATCH(H418,""www""),RIGHT(H418,LEN(H418)-FIND(""."",H418)+0),if(regexmatch(H418,""https://""),right(H418,len(H418)-find(""/"",H418)-1),H418))"),"newlinesmag.com")</f>
        <v>newlinesmag.com</v>
      </c>
      <c r="J418" s="9" t="str">
        <f t="shared" si="119"/>
        <v>newlinesmag.com</v>
      </c>
      <c r="K418" s="9" t="s">
        <v>23</v>
      </c>
      <c r="L418" s="6" t="s">
        <v>176</v>
      </c>
      <c r="M418" s="8" t="str">
        <f t="shared" si="120"/>
        <v>https://newsapi.org/v2/everything?domains=newlinesmag.com&amp;apiKey=7d4cb29b783f48c8a1837901e959f134</v>
      </c>
      <c r="N418" s="6">
        <v>1.0</v>
      </c>
      <c r="O418" s="6" t="s">
        <v>25</v>
      </c>
      <c r="P418" s="6"/>
      <c r="Q418" s="6">
        <v>1.0</v>
      </c>
      <c r="R418" s="6" t="s">
        <v>26</v>
      </c>
      <c r="S418" s="6" t="s">
        <v>27</v>
      </c>
      <c r="T418" s="6" t="s">
        <v>241</v>
      </c>
    </row>
    <row r="419">
      <c r="B419" s="6" t="s">
        <v>1005</v>
      </c>
      <c r="C419" s="7" t="str">
        <f t="shared" si="1"/>
        <v/>
      </c>
      <c r="D419" s="7" t="s">
        <v>50</v>
      </c>
      <c r="E419" s="7">
        <v>100.0</v>
      </c>
      <c r="F419" s="1"/>
      <c r="G419" s="8" t="s">
        <v>1006</v>
      </c>
      <c r="H419" s="9" t="str">
        <f t="shared" si="118"/>
        <v>https://www.newyorker.com</v>
      </c>
      <c r="I419" s="9" t="str">
        <f>IFERROR(__xludf.DUMMYFUNCTION("IF(REGEXMATCH(H419,""www""),RIGHT(H419,LEN(H419)-FIND(""."",H419)+0),if(regexmatch(H419,""https://""),right(H419,len(H419)-find(""/"",H419)-1),H419))"),"newyorker.com")</f>
        <v>newyorker.com</v>
      </c>
      <c r="J419" s="9" t="str">
        <f t="shared" si="119"/>
        <v>newyorker.com</v>
      </c>
      <c r="K419" s="9" t="s">
        <v>23</v>
      </c>
      <c r="L419" s="6" t="s">
        <v>24</v>
      </c>
      <c r="M419" s="8" t="str">
        <f t="shared" si="120"/>
        <v>https://newsapi.org/v2/everything?domains=newyorker.com&amp;apiKey=ae2ad3e68d4e4daca149bbfb9b61c010</v>
      </c>
      <c r="N419" s="6">
        <v>1.0</v>
      </c>
      <c r="O419" s="6" t="s">
        <v>25</v>
      </c>
      <c r="P419" s="6">
        <v>1.0</v>
      </c>
      <c r="Q419" s="6">
        <v>1.0</v>
      </c>
      <c r="R419" s="6" t="s">
        <v>26</v>
      </c>
      <c r="S419" s="6" t="s">
        <v>27</v>
      </c>
      <c r="T419" s="6" t="s">
        <v>223</v>
      </c>
    </row>
    <row r="420">
      <c r="B420" s="6" t="s">
        <v>1007</v>
      </c>
      <c r="C420" s="7" t="str">
        <f t="shared" si="1"/>
        <v/>
      </c>
      <c r="D420" s="7" t="s">
        <v>30</v>
      </c>
      <c r="E420" s="12"/>
      <c r="F420" s="11" t="s">
        <v>1008</v>
      </c>
      <c r="G420" s="11" t="s">
        <v>1009</v>
      </c>
      <c r="H420" s="9" t="str">
        <f t="shared" si="118"/>
        <v>https://nida.nih.gov</v>
      </c>
      <c r="I420" s="9" t="str">
        <f>IFERROR(__xludf.DUMMYFUNCTION("IF(REGEXMATCH(H420,""www""),RIGHT(H420,LEN(H420)-FIND(""."",H420)+0),if(regexmatch(H420,""https://""),right(H420,len(H420)-find(""/"",H420)-1),H420))"),"nida.nih.gov")</f>
        <v>nida.nih.gov</v>
      </c>
      <c r="J420" s="9" t="str">
        <f t="shared" si="119"/>
        <v>nida.nih.gov</v>
      </c>
      <c r="K420" s="9" t="s">
        <v>23</v>
      </c>
      <c r="L420" s="6" t="s">
        <v>176</v>
      </c>
      <c r="M420" s="8" t="str">
        <f t="shared" si="120"/>
        <v>https://newsapi.org/v2/everything?domains=nida.nih.gov&amp;apiKey=7d4cb29b783f48c8a1837901e959f134</v>
      </c>
      <c r="N420" s="6">
        <v>0.0</v>
      </c>
      <c r="O420" s="6" t="s">
        <v>25</v>
      </c>
      <c r="P420" s="6"/>
      <c r="Q420" s="6">
        <v>1.0</v>
      </c>
      <c r="R420" s="6" t="s">
        <v>26</v>
      </c>
      <c r="S420" s="6" t="s">
        <v>27</v>
      </c>
      <c r="T420" s="6" t="s">
        <v>101</v>
      </c>
    </row>
    <row r="421">
      <c r="B421" s="6" t="s">
        <v>1010</v>
      </c>
      <c r="C421" s="7" t="str">
        <f t="shared" si="1"/>
        <v/>
      </c>
      <c r="D421" s="7" t="s">
        <v>20</v>
      </c>
      <c r="E421" s="8" t="s">
        <v>1011</v>
      </c>
      <c r="F421" s="7"/>
      <c r="G421" s="8" t="s">
        <v>1012</v>
      </c>
      <c r="H421" s="9" t="str">
        <f t="shared" si="118"/>
        <v>https://www.nih.gov</v>
      </c>
      <c r="I421" s="9" t="str">
        <f>IFERROR(__xludf.DUMMYFUNCTION("IF(REGEXMATCH(H421,""www""),RIGHT(H421,LEN(H421)-FIND(""."",H421)+0),if(regexmatch(H421,""https://""),right(H421,len(H421)-find(""/"",H421)-1),H421))"),"nih.gov")</f>
        <v>nih.gov</v>
      </c>
      <c r="J421" s="9" t="str">
        <f t="shared" si="119"/>
        <v>nih.gov</v>
      </c>
      <c r="K421" s="9" t="s">
        <v>23</v>
      </c>
      <c r="L421" s="6" t="s">
        <v>176</v>
      </c>
      <c r="M421" s="8" t="str">
        <f t="shared" si="120"/>
        <v>https://newsapi.org/v2/everything?domains=nih.gov&amp;apiKey=7d4cb29b783f48c8a1837901e959f134</v>
      </c>
      <c r="N421" s="6">
        <v>1.0</v>
      </c>
      <c r="O421" s="6" t="s">
        <v>25</v>
      </c>
      <c r="P421" s="6"/>
      <c r="Q421" s="6">
        <v>1.0</v>
      </c>
      <c r="R421" s="6" t="s">
        <v>26</v>
      </c>
      <c r="S421" s="6" t="s">
        <v>27</v>
      </c>
      <c r="T421" s="6" t="s">
        <v>101</v>
      </c>
    </row>
    <row r="422">
      <c r="B422" s="6" t="s">
        <v>1010</v>
      </c>
      <c r="C422" s="7" t="str">
        <f t="shared" si="1"/>
        <v/>
      </c>
      <c r="D422" s="7" t="s">
        <v>30</v>
      </c>
      <c r="E422" s="1"/>
      <c r="F422" s="8" t="s">
        <v>1013</v>
      </c>
      <c r="G422" s="1"/>
      <c r="M422" s="1"/>
      <c r="N422" s="6">
        <v>1.0</v>
      </c>
      <c r="O422" s="6" t="s">
        <v>25</v>
      </c>
      <c r="P422" s="6"/>
      <c r="Q422" s="6">
        <v>1.0</v>
      </c>
      <c r="R422" s="6" t="s">
        <v>26</v>
      </c>
      <c r="S422" s="6" t="s">
        <v>27</v>
      </c>
      <c r="T422" s="6" t="s">
        <v>128</v>
      </c>
    </row>
    <row r="423">
      <c r="B423" s="6" t="s">
        <v>1014</v>
      </c>
      <c r="C423" s="7" t="str">
        <f t="shared" si="1"/>
        <v/>
      </c>
      <c r="D423" s="7" t="s">
        <v>20</v>
      </c>
      <c r="E423" s="1"/>
      <c r="F423" s="8" t="s">
        <v>1015</v>
      </c>
      <c r="G423" s="1"/>
      <c r="M423" s="1"/>
      <c r="N423" s="6">
        <v>0.0</v>
      </c>
      <c r="O423" s="6" t="s">
        <v>43</v>
      </c>
      <c r="P423" s="6"/>
      <c r="Q423" s="6">
        <v>1.0</v>
      </c>
      <c r="R423" s="6" t="s">
        <v>26</v>
      </c>
      <c r="S423" s="6" t="s">
        <v>27</v>
      </c>
      <c r="T423" s="6" t="s">
        <v>56</v>
      </c>
    </row>
    <row r="424">
      <c r="B424" s="6" t="s">
        <v>1016</v>
      </c>
      <c r="C424" s="7" t="str">
        <f t="shared" si="1"/>
        <v>Noema</v>
      </c>
      <c r="D424" s="7" t="s">
        <v>20</v>
      </c>
      <c r="E424" s="1"/>
      <c r="F424" s="8" t="s">
        <v>1017</v>
      </c>
      <c r="G424" s="1"/>
      <c r="M424" s="1"/>
      <c r="N424" s="6">
        <v>0.0</v>
      </c>
      <c r="O424" s="6" t="s">
        <v>25</v>
      </c>
      <c r="P424" s="6"/>
      <c r="Q424" s="6">
        <v>1.0</v>
      </c>
      <c r="R424" s="6" t="s">
        <v>26</v>
      </c>
      <c r="S424" s="6" t="s">
        <v>27</v>
      </c>
      <c r="T424" s="6" t="s">
        <v>76</v>
      </c>
    </row>
    <row r="425">
      <c r="B425" s="6" t="s">
        <v>1018</v>
      </c>
      <c r="C425" s="7" t="str">
        <f t="shared" si="1"/>
        <v>Noema</v>
      </c>
      <c r="D425" s="7" t="s">
        <v>20</v>
      </c>
      <c r="E425" s="1"/>
      <c r="F425" s="8" t="s">
        <v>1019</v>
      </c>
      <c r="G425" s="1"/>
      <c r="M425" s="1"/>
      <c r="N425" s="6">
        <v>1.0</v>
      </c>
      <c r="O425" s="6" t="s">
        <v>25</v>
      </c>
      <c r="P425" s="6"/>
      <c r="Q425" s="6">
        <v>1.0</v>
      </c>
      <c r="R425" s="6" t="s">
        <v>26</v>
      </c>
      <c r="S425" s="6" t="s">
        <v>27</v>
      </c>
      <c r="T425" s="6" t="s">
        <v>28</v>
      </c>
    </row>
    <row r="426">
      <c r="B426" s="6" t="s">
        <v>1020</v>
      </c>
      <c r="C426" s="7" t="str">
        <f t="shared" si="1"/>
        <v>Noema</v>
      </c>
      <c r="D426" s="7" t="s">
        <v>20</v>
      </c>
      <c r="E426" s="1"/>
      <c r="F426" s="8" t="s">
        <v>1021</v>
      </c>
      <c r="G426" s="1"/>
      <c r="M426" s="1"/>
      <c r="N426" s="6">
        <v>0.0</v>
      </c>
      <c r="O426" s="6" t="s">
        <v>25</v>
      </c>
      <c r="P426" s="6"/>
      <c r="Q426" s="6">
        <v>1.0</v>
      </c>
      <c r="R426" s="6" t="s">
        <v>26</v>
      </c>
      <c r="S426" s="6" t="s">
        <v>27</v>
      </c>
      <c r="T426" s="6" t="s">
        <v>248</v>
      </c>
    </row>
    <row r="427">
      <c r="B427" s="6" t="s">
        <v>1022</v>
      </c>
      <c r="C427" s="7" t="str">
        <f t="shared" si="1"/>
        <v>Noema</v>
      </c>
      <c r="D427" s="7" t="s">
        <v>20</v>
      </c>
      <c r="E427" s="1"/>
      <c r="F427" s="8" t="s">
        <v>1023</v>
      </c>
      <c r="G427" s="1"/>
      <c r="M427" s="1"/>
      <c r="N427" s="6">
        <v>0.0</v>
      </c>
      <c r="O427" s="6" t="s">
        <v>25</v>
      </c>
      <c r="P427" s="6"/>
      <c r="Q427" s="6">
        <v>1.0</v>
      </c>
      <c r="R427" s="6" t="s">
        <v>26</v>
      </c>
      <c r="S427" s="6" t="s">
        <v>27</v>
      </c>
      <c r="T427" s="6" t="s">
        <v>28</v>
      </c>
    </row>
    <row r="428">
      <c r="B428" s="6" t="s">
        <v>1024</v>
      </c>
      <c r="C428" s="7" t="str">
        <f t="shared" si="1"/>
        <v>Noema</v>
      </c>
      <c r="D428" s="7" t="s">
        <v>20</v>
      </c>
      <c r="E428" s="1"/>
      <c r="F428" s="8" t="s">
        <v>1025</v>
      </c>
      <c r="G428" s="1"/>
      <c r="M428" s="1"/>
      <c r="N428" s="6">
        <v>0.0</v>
      </c>
      <c r="O428" s="6" t="s">
        <v>25</v>
      </c>
      <c r="P428" s="6"/>
      <c r="Q428" s="6">
        <v>1.0</v>
      </c>
      <c r="R428" s="6" t="s">
        <v>26</v>
      </c>
      <c r="S428" s="6" t="s">
        <v>27</v>
      </c>
      <c r="T428" s="6" t="s">
        <v>76</v>
      </c>
    </row>
    <row r="429">
      <c r="B429" s="6" t="s">
        <v>1026</v>
      </c>
      <c r="C429" s="7" t="str">
        <f t="shared" si="1"/>
        <v>Northwestern</v>
      </c>
      <c r="D429" s="6" t="s">
        <v>30</v>
      </c>
      <c r="E429" s="7"/>
      <c r="F429" s="8" t="s">
        <v>1027</v>
      </c>
      <c r="G429" s="7"/>
      <c r="H429" s="10"/>
      <c r="I429" s="10"/>
      <c r="J429" s="10"/>
      <c r="K429" s="10"/>
      <c r="L429" s="6"/>
      <c r="M429" s="7"/>
      <c r="N429" s="6">
        <v>0.0</v>
      </c>
      <c r="O429" s="6" t="s">
        <v>25</v>
      </c>
      <c r="P429" s="6"/>
      <c r="Q429" s="6">
        <v>1.0</v>
      </c>
      <c r="R429" s="6" t="s">
        <v>26</v>
      </c>
      <c r="S429" s="6" t="s">
        <v>27</v>
      </c>
      <c r="T429" s="6" t="s">
        <v>67</v>
      </c>
    </row>
    <row r="430">
      <c r="B430" s="6" t="s">
        <v>1028</v>
      </c>
      <c r="C430" s="7" t="str">
        <f t="shared" si="1"/>
        <v>Northwestern</v>
      </c>
      <c r="D430" s="6" t="s">
        <v>30</v>
      </c>
      <c r="E430" s="7"/>
      <c r="F430" s="8" t="s">
        <v>1029</v>
      </c>
      <c r="G430" s="7"/>
      <c r="H430" s="10"/>
      <c r="I430" s="10"/>
      <c r="J430" s="10"/>
      <c r="K430" s="10"/>
      <c r="L430" s="6"/>
      <c r="M430" s="7"/>
      <c r="N430" s="6">
        <v>0.0</v>
      </c>
      <c r="O430" s="6" t="s">
        <v>25</v>
      </c>
      <c r="P430" s="6"/>
      <c r="Q430" s="6">
        <v>1.0</v>
      </c>
      <c r="R430" s="6" t="s">
        <v>26</v>
      </c>
      <c r="S430" s="6" t="s">
        <v>27</v>
      </c>
      <c r="T430" s="6" t="s">
        <v>101</v>
      </c>
    </row>
    <row r="431">
      <c r="B431" s="6" t="s">
        <v>1030</v>
      </c>
      <c r="C431" s="7" t="str">
        <f t="shared" si="1"/>
        <v>Northwestern</v>
      </c>
      <c r="D431" s="6" t="s">
        <v>30</v>
      </c>
      <c r="E431" s="7"/>
      <c r="F431" s="8" t="s">
        <v>1031</v>
      </c>
      <c r="G431" s="7"/>
      <c r="H431" s="10"/>
      <c r="I431" s="10"/>
      <c r="J431" s="10"/>
      <c r="K431" s="10"/>
      <c r="L431" s="6"/>
      <c r="M431" s="7"/>
      <c r="N431" s="6">
        <v>0.0</v>
      </c>
      <c r="O431" s="6" t="s">
        <v>25</v>
      </c>
      <c r="P431" s="6"/>
      <c r="Q431" s="6">
        <v>1.0</v>
      </c>
      <c r="R431" s="6" t="s">
        <v>26</v>
      </c>
      <c r="S431" s="6" t="s">
        <v>27</v>
      </c>
      <c r="T431" s="6" t="s">
        <v>131</v>
      </c>
    </row>
    <row r="432">
      <c r="B432" s="6" t="s">
        <v>1032</v>
      </c>
      <c r="C432" s="7" t="str">
        <f t="shared" si="1"/>
        <v/>
      </c>
      <c r="D432" s="7" t="s">
        <v>20</v>
      </c>
      <c r="E432" s="1"/>
      <c r="F432" s="8" t="s">
        <v>1033</v>
      </c>
      <c r="G432" s="1"/>
      <c r="M432" s="1"/>
      <c r="N432" s="6">
        <v>0.0</v>
      </c>
      <c r="O432" s="6" t="s">
        <v>25</v>
      </c>
      <c r="P432" s="6"/>
      <c r="Q432" s="6">
        <v>1.0</v>
      </c>
      <c r="R432" s="6" t="s">
        <v>26</v>
      </c>
      <c r="S432" s="6" t="s">
        <v>27</v>
      </c>
      <c r="T432" s="6" t="s">
        <v>76</v>
      </c>
    </row>
    <row r="433">
      <c r="B433" s="6" t="s">
        <v>1034</v>
      </c>
      <c r="C433" s="7" t="str">
        <f t="shared" si="1"/>
        <v>NPR</v>
      </c>
      <c r="D433" s="12" t="s">
        <v>30</v>
      </c>
      <c r="E433" s="12"/>
      <c r="F433" s="11" t="s">
        <v>1035</v>
      </c>
      <c r="G433" s="12"/>
      <c r="H433" s="10"/>
      <c r="I433" s="10"/>
      <c r="J433" s="10"/>
      <c r="K433" s="10"/>
      <c r="L433" s="6"/>
      <c r="M433" s="7"/>
      <c r="N433" s="6">
        <v>1.0</v>
      </c>
      <c r="O433" s="6" t="s">
        <v>25</v>
      </c>
      <c r="P433" s="6"/>
      <c r="Q433" s="6">
        <v>1.0</v>
      </c>
      <c r="R433" s="6" t="s">
        <v>26</v>
      </c>
      <c r="S433" s="6" t="s">
        <v>27</v>
      </c>
      <c r="T433" s="6" t="s">
        <v>67</v>
      </c>
    </row>
    <row r="434">
      <c r="B434" s="6" t="s">
        <v>1036</v>
      </c>
      <c r="C434" s="7" t="str">
        <f t="shared" si="1"/>
        <v>NPR</v>
      </c>
      <c r="D434" s="12" t="s">
        <v>30</v>
      </c>
      <c r="E434" s="12"/>
      <c r="F434" s="11" t="s">
        <v>1037</v>
      </c>
      <c r="G434" s="12"/>
      <c r="H434" s="10"/>
      <c r="I434" s="10"/>
      <c r="J434" s="10"/>
      <c r="K434" s="10"/>
      <c r="L434" s="6"/>
      <c r="M434" s="7"/>
      <c r="N434" s="6">
        <v>1.0</v>
      </c>
      <c r="O434" s="6" t="s">
        <v>25</v>
      </c>
      <c r="P434" s="6"/>
      <c r="Q434" s="6">
        <v>1.0</v>
      </c>
      <c r="R434" s="6" t="s">
        <v>26</v>
      </c>
      <c r="S434" s="6" t="s">
        <v>27</v>
      </c>
      <c r="T434" s="6" t="s">
        <v>107</v>
      </c>
    </row>
    <row r="435">
      <c r="B435" s="6" t="s">
        <v>1038</v>
      </c>
      <c r="C435" s="7" t="str">
        <f t="shared" si="1"/>
        <v>NPR</v>
      </c>
      <c r="D435" s="12" t="s">
        <v>30</v>
      </c>
      <c r="E435" s="12"/>
      <c r="F435" s="11" t="s">
        <v>1039</v>
      </c>
      <c r="G435" s="12"/>
      <c r="H435" s="10"/>
      <c r="I435" s="10"/>
      <c r="J435" s="10"/>
      <c r="K435" s="10"/>
      <c r="L435" s="6"/>
      <c r="M435" s="7"/>
      <c r="N435" s="6">
        <v>1.0</v>
      </c>
      <c r="O435" s="6" t="s">
        <v>25</v>
      </c>
      <c r="P435" s="6"/>
      <c r="Q435" s="6">
        <v>1.0</v>
      </c>
      <c r="R435" s="6" t="s">
        <v>26</v>
      </c>
      <c r="S435" s="6" t="s">
        <v>27</v>
      </c>
      <c r="T435" s="6" t="s">
        <v>48</v>
      </c>
    </row>
    <row r="436">
      <c r="B436" s="6" t="s">
        <v>1040</v>
      </c>
      <c r="C436" s="7" t="str">
        <f t="shared" si="1"/>
        <v>NPR</v>
      </c>
      <c r="D436" s="12" t="s">
        <v>30</v>
      </c>
      <c r="E436" s="12"/>
      <c r="F436" s="11" t="s">
        <v>1041</v>
      </c>
      <c r="G436" s="12"/>
      <c r="H436" s="10"/>
      <c r="I436" s="10"/>
      <c r="J436" s="10"/>
      <c r="K436" s="10"/>
      <c r="L436" s="6"/>
      <c r="M436" s="7"/>
      <c r="N436" s="6">
        <v>1.0</v>
      </c>
      <c r="O436" s="6" t="s">
        <v>25</v>
      </c>
      <c r="P436" s="6"/>
      <c r="Q436" s="6">
        <v>1.0</v>
      </c>
      <c r="R436" s="6" t="s">
        <v>26</v>
      </c>
      <c r="S436" s="6" t="s">
        <v>27</v>
      </c>
      <c r="T436" s="6" t="s">
        <v>85</v>
      </c>
    </row>
    <row r="437">
      <c r="B437" s="6" t="s">
        <v>1042</v>
      </c>
      <c r="C437" s="7" t="str">
        <f t="shared" si="1"/>
        <v>NPR</v>
      </c>
      <c r="D437" s="12" t="s">
        <v>30</v>
      </c>
      <c r="E437" s="12"/>
      <c r="F437" s="11" t="s">
        <v>1043</v>
      </c>
      <c r="G437" s="12"/>
      <c r="H437" s="10"/>
      <c r="I437" s="10"/>
      <c r="J437" s="10"/>
      <c r="K437" s="10"/>
      <c r="L437" s="6"/>
      <c r="M437" s="7"/>
      <c r="N437" s="6">
        <v>1.0</v>
      </c>
      <c r="O437" s="6" t="s">
        <v>25</v>
      </c>
      <c r="P437" s="6"/>
      <c r="Q437" s="6">
        <v>1.0</v>
      </c>
      <c r="R437" s="6" t="s">
        <v>26</v>
      </c>
      <c r="S437" s="6" t="s">
        <v>27</v>
      </c>
      <c r="T437" s="6" t="s">
        <v>248</v>
      </c>
    </row>
    <row r="438">
      <c r="B438" s="6" t="s">
        <v>1044</v>
      </c>
      <c r="C438" s="7" t="str">
        <f t="shared" si="1"/>
        <v>NPR</v>
      </c>
      <c r="D438" s="12" t="s">
        <v>30</v>
      </c>
      <c r="E438" s="12"/>
      <c r="F438" s="11" t="s">
        <v>1045</v>
      </c>
      <c r="G438" s="12"/>
      <c r="H438" s="10"/>
      <c r="I438" s="10"/>
      <c r="J438" s="10"/>
      <c r="K438" s="10"/>
      <c r="L438" s="6"/>
      <c r="M438" s="7"/>
      <c r="N438" s="6">
        <v>1.0</v>
      </c>
      <c r="O438" s="6" t="s">
        <v>25</v>
      </c>
      <c r="P438" s="6"/>
      <c r="Q438" s="6">
        <v>1.0</v>
      </c>
      <c r="R438" s="6" t="s">
        <v>26</v>
      </c>
      <c r="S438" s="6" t="s">
        <v>27</v>
      </c>
      <c r="T438" s="6" t="s">
        <v>85</v>
      </c>
    </row>
    <row r="439">
      <c r="B439" s="6" t="s">
        <v>1046</v>
      </c>
      <c r="C439" s="7" t="str">
        <f t="shared" si="1"/>
        <v>NPR</v>
      </c>
      <c r="D439" s="12" t="s">
        <v>30</v>
      </c>
      <c r="E439" s="12"/>
      <c r="F439" s="11" t="s">
        <v>1047</v>
      </c>
      <c r="G439" s="12"/>
      <c r="H439" s="10"/>
      <c r="I439" s="10"/>
      <c r="J439" s="10"/>
      <c r="K439" s="10"/>
      <c r="L439" s="6"/>
      <c r="M439" s="7"/>
      <c r="N439" s="6">
        <v>1.0</v>
      </c>
      <c r="O439" s="6" t="s">
        <v>25</v>
      </c>
      <c r="P439" s="6"/>
      <c r="Q439" s="6">
        <v>1.0</v>
      </c>
      <c r="R439" s="6" t="s">
        <v>26</v>
      </c>
      <c r="S439" s="6" t="s">
        <v>27</v>
      </c>
      <c r="T439" s="6" t="s">
        <v>85</v>
      </c>
    </row>
    <row r="440">
      <c r="B440" s="6" t="s">
        <v>1048</v>
      </c>
      <c r="C440" s="7" t="str">
        <f t="shared" si="1"/>
        <v>NPR</v>
      </c>
      <c r="D440" s="12" t="s">
        <v>30</v>
      </c>
      <c r="E440" s="12"/>
      <c r="F440" s="11" t="s">
        <v>1049</v>
      </c>
      <c r="G440" s="12"/>
      <c r="H440" s="10"/>
      <c r="I440" s="10"/>
      <c r="J440" s="10"/>
      <c r="K440" s="10"/>
      <c r="L440" s="6"/>
      <c r="M440" s="7"/>
      <c r="N440" s="6">
        <v>1.0</v>
      </c>
      <c r="O440" s="6" t="s">
        <v>25</v>
      </c>
      <c r="P440" s="6"/>
      <c r="Q440" s="6">
        <v>1.0</v>
      </c>
      <c r="R440" s="6" t="s">
        <v>26</v>
      </c>
      <c r="S440" s="6" t="s">
        <v>27</v>
      </c>
      <c r="T440" s="6" t="s">
        <v>44</v>
      </c>
    </row>
    <row r="441">
      <c r="B441" s="6" t="s">
        <v>1050</v>
      </c>
      <c r="C441" s="7" t="str">
        <f t="shared" si="1"/>
        <v>NPR</v>
      </c>
      <c r="D441" s="12" t="s">
        <v>30</v>
      </c>
      <c r="E441" s="12"/>
      <c r="F441" s="11" t="s">
        <v>1051</v>
      </c>
      <c r="G441" s="12"/>
      <c r="H441" s="10"/>
      <c r="I441" s="10"/>
      <c r="J441" s="10"/>
      <c r="K441" s="10"/>
      <c r="L441" s="6"/>
      <c r="M441" s="7"/>
      <c r="N441" s="6">
        <v>1.0</v>
      </c>
      <c r="O441" s="6" t="s">
        <v>25</v>
      </c>
      <c r="P441" s="6"/>
      <c r="Q441" s="6">
        <v>1.0</v>
      </c>
      <c r="R441" s="6" t="s">
        <v>26</v>
      </c>
      <c r="S441" s="6" t="s">
        <v>27</v>
      </c>
      <c r="T441" s="6" t="s">
        <v>101</v>
      </c>
    </row>
    <row r="442">
      <c r="B442" s="6" t="s">
        <v>1052</v>
      </c>
      <c r="C442" s="7" t="str">
        <f t="shared" si="1"/>
        <v>NPR</v>
      </c>
      <c r="D442" s="12" t="s">
        <v>30</v>
      </c>
      <c r="E442" s="12"/>
      <c r="F442" s="11" t="s">
        <v>1053</v>
      </c>
      <c r="G442" s="12"/>
      <c r="H442" s="10"/>
      <c r="I442" s="10"/>
      <c r="J442" s="10"/>
      <c r="K442" s="10"/>
      <c r="L442" s="6"/>
      <c r="M442" s="7"/>
      <c r="N442" s="6">
        <v>1.0</v>
      </c>
      <c r="O442" s="6" t="s">
        <v>25</v>
      </c>
      <c r="P442" s="6"/>
      <c r="Q442" s="6">
        <v>1.0</v>
      </c>
      <c r="R442" s="6" t="s">
        <v>26</v>
      </c>
      <c r="S442" s="6" t="s">
        <v>27</v>
      </c>
      <c r="T442" s="6" t="s">
        <v>90</v>
      </c>
    </row>
    <row r="443">
      <c r="B443" s="6" t="s">
        <v>1054</v>
      </c>
      <c r="C443" s="7" t="str">
        <f t="shared" si="1"/>
        <v>NPR</v>
      </c>
      <c r="D443" s="12" t="s">
        <v>30</v>
      </c>
      <c r="E443" s="12"/>
      <c r="F443" s="11" t="s">
        <v>1055</v>
      </c>
      <c r="G443" s="12"/>
      <c r="H443" s="10"/>
      <c r="I443" s="10"/>
      <c r="J443" s="10"/>
      <c r="K443" s="10"/>
      <c r="L443" s="6"/>
      <c r="M443" s="7"/>
      <c r="N443" s="6">
        <v>1.0</v>
      </c>
      <c r="O443" s="6" t="s">
        <v>25</v>
      </c>
      <c r="P443" s="6"/>
      <c r="Q443" s="6">
        <v>1.0</v>
      </c>
      <c r="R443" s="6" t="s">
        <v>26</v>
      </c>
      <c r="S443" s="6" t="s">
        <v>27</v>
      </c>
      <c r="T443" s="6" t="s">
        <v>32</v>
      </c>
    </row>
    <row r="444">
      <c r="B444" s="6" t="s">
        <v>1056</v>
      </c>
      <c r="C444" s="7" t="str">
        <f t="shared" si="1"/>
        <v>NPR</v>
      </c>
      <c r="D444" s="12" t="s">
        <v>30</v>
      </c>
      <c r="E444" s="12"/>
      <c r="F444" s="11" t="s">
        <v>1051</v>
      </c>
      <c r="G444" s="12"/>
      <c r="H444" s="10"/>
      <c r="I444" s="10"/>
      <c r="J444" s="10"/>
      <c r="K444" s="10"/>
      <c r="L444" s="6"/>
      <c r="M444" s="7"/>
      <c r="N444" s="6">
        <v>1.0</v>
      </c>
      <c r="O444" s="6" t="s">
        <v>25</v>
      </c>
      <c r="P444" s="6"/>
      <c r="Q444" s="6">
        <v>1.0</v>
      </c>
      <c r="R444" s="6" t="s">
        <v>26</v>
      </c>
      <c r="S444" s="6" t="s">
        <v>27</v>
      </c>
      <c r="T444" s="6" t="s">
        <v>64</v>
      </c>
    </row>
    <row r="445">
      <c r="B445" s="6" t="s">
        <v>1057</v>
      </c>
      <c r="C445" s="7" t="str">
        <f t="shared" si="1"/>
        <v>NPR</v>
      </c>
      <c r="D445" s="12" t="s">
        <v>30</v>
      </c>
      <c r="E445" s="12"/>
      <c r="F445" s="11" t="s">
        <v>1058</v>
      </c>
      <c r="G445" s="12"/>
      <c r="H445" s="10"/>
      <c r="I445" s="10"/>
      <c r="J445" s="10"/>
      <c r="K445" s="10"/>
      <c r="L445" s="6"/>
      <c r="M445" s="7"/>
      <c r="N445" s="6">
        <v>1.0</v>
      </c>
      <c r="O445" s="6" t="s">
        <v>25</v>
      </c>
      <c r="P445" s="6"/>
      <c r="Q445" s="6">
        <v>1.0</v>
      </c>
      <c r="R445" s="6" t="s">
        <v>26</v>
      </c>
      <c r="S445" s="6" t="s">
        <v>27</v>
      </c>
      <c r="T445" s="6" t="s">
        <v>76</v>
      </c>
    </row>
    <row r="446">
      <c r="B446" s="6" t="s">
        <v>1059</v>
      </c>
      <c r="C446" s="7" t="str">
        <f t="shared" si="1"/>
        <v>NYT</v>
      </c>
      <c r="D446" s="7" t="s">
        <v>20</v>
      </c>
      <c r="E446" s="1"/>
      <c r="F446" s="8" t="s">
        <v>1060</v>
      </c>
      <c r="G446" s="1"/>
      <c r="M446" s="1"/>
      <c r="N446" s="6">
        <v>1.0</v>
      </c>
      <c r="O446" s="6" t="s">
        <v>25</v>
      </c>
      <c r="P446" s="6">
        <v>0.0</v>
      </c>
      <c r="Q446" s="6">
        <v>1.0</v>
      </c>
      <c r="R446" s="6" t="s">
        <v>26</v>
      </c>
      <c r="S446" s="6" t="s">
        <v>27</v>
      </c>
      <c r="T446" s="6" t="s">
        <v>329</v>
      </c>
    </row>
    <row r="447">
      <c r="B447" s="6" t="s">
        <v>1061</v>
      </c>
      <c r="C447" s="7" t="str">
        <f t="shared" si="1"/>
        <v>NYT</v>
      </c>
      <c r="D447" s="7" t="s">
        <v>20</v>
      </c>
      <c r="E447" s="1"/>
      <c r="F447" s="8" t="s">
        <v>1062</v>
      </c>
      <c r="G447" s="1"/>
      <c r="M447" s="1"/>
      <c r="N447" s="6">
        <v>1.0</v>
      </c>
      <c r="O447" s="6" t="s">
        <v>25</v>
      </c>
      <c r="P447" s="6">
        <v>0.0</v>
      </c>
      <c r="Q447" s="6">
        <v>1.0</v>
      </c>
      <c r="R447" s="6" t="s">
        <v>26</v>
      </c>
      <c r="S447" s="6" t="s">
        <v>27</v>
      </c>
      <c r="T447" s="6" t="s">
        <v>67</v>
      </c>
    </row>
    <row r="448">
      <c r="B448" s="6" t="s">
        <v>1063</v>
      </c>
      <c r="C448" s="7" t="str">
        <f t="shared" si="1"/>
        <v>NYT</v>
      </c>
      <c r="D448" s="7" t="s">
        <v>20</v>
      </c>
      <c r="E448" s="1"/>
      <c r="F448" s="8" t="s">
        <v>1064</v>
      </c>
      <c r="G448" s="1"/>
      <c r="M448" s="1"/>
      <c r="N448" s="6">
        <v>1.0</v>
      </c>
      <c r="O448" s="6" t="s">
        <v>25</v>
      </c>
      <c r="P448" s="6">
        <v>0.0</v>
      </c>
      <c r="Q448" s="6">
        <v>1.0</v>
      </c>
      <c r="R448" s="6" t="s">
        <v>26</v>
      </c>
      <c r="S448" s="6" t="s">
        <v>27</v>
      </c>
      <c r="T448" s="6" t="s">
        <v>107</v>
      </c>
    </row>
    <row r="449">
      <c r="B449" s="6" t="s">
        <v>1065</v>
      </c>
      <c r="C449" s="7" t="str">
        <f t="shared" si="1"/>
        <v>NYT</v>
      </c>
      <c r="D449" s="7" t="s">
        <v>20</v>
      </c>
      <c r="E449" s="1"/>
      <c r="F449" s="8" t="s">
        <v>1066</v>
      </c>
      <c r="G449" s="1"/>
      <c r="M449" s="1"/>
      <c r="N449" s="6">
        <v>1.0</v>
      </c>
      <c r="O449" s="6" t="s">
        <v>25</v>
      </c>
      <c r="P449" s="6">
        <v>0.0</v>
      </c>
      <c r="Q449" s="6">
        <v>1.0</v>
      </c>
      <c r="R449" s="6" t="s">
        <v>26</v>
      </c>
      <c r="S449" s="6" t="s">
        <v>27</v>
      </c>
      <c r="T449" s="6" t="s">
        <v>48</v>
      </c>
    </row>
    <row r="450">
      <c r="B450" s="6" t="s">
        <v>1067</v>
      </c>
      <c r="C450" s="7" t="str">
        <f t="shared" si="1"/>
        <v>NYT</v>
      </c>
      <c r="D450" s="7" t="s">
        <v>20</v>
      </c>
      <c r="E450" s="1"/>
      <c r="F450" s="8" t="s">
        <v>1068</v>
      </c>
      <c r="G450" s="1"/>
      <c r="M450" s="1"/>
      <c r="N450" s="6">
        <v>1.0</v>
      </c>
      <c r="O450" s="6" t="s">
        <v>25</v>
      </c>
      <c r="P450" s="6">
        <v>0.0</v>
      </c>
      <c r="Q450" s="6">
        <v>1.0</v>
      </c>
      <c r="R450" s="6" t="s">
        <v>26</v>
      </c>
      <c r="S450" s="6" t="s">
        <v>27</v>
      </c>
      <c r="T450" s="6" t="s">
        <v>67</v>
      </c>
    </row>
    <row r="451">
      <c r="B451" s="6" t="s">
        <v>1069</v>
      </c>
      <c r="C451" s="7" t="str">
        <f t="shared" si="1"/>
        <v>NYT</v>
      </c>
      <c r="D451" s="7" t="s">
        <v>20</v>
      </c>
      <c r="E451" s="1"/>
      <c r="F451" s="8" t="s">
        <v>1070</v>
      </c>
      <c r="G451" s="1"/>
      <c r="M451" s="1"/>
      <c r="N451" s="6">
        <v>1.0</v>
      </c>
      <c r="O451" s="6" t="s">
        <v>25</v>
      </c>
      <c r="P451" s="6">
        <v>0.0</v>
      </c>
      <c r="Q451" s="6">
        <v>1.0</v>
      </c>
      <c r="R451" s="6" t="s">
        <v>26</v>
      </c>
      <c r="S451" s="6" t="s">
        <v>27</v>
      </c>
      <c r="T451" s="6" t="s">
        <v>248</v>
      </c>
    </row>
    <row r="452">
      <c r="B452" s="6" t="s">
        <v>1071</v>
      </c>
      <c r="C452" s="7" t="str">
        <f t="shared" si="1"/>
        <v>NYT</v>
      </c>
      <c r="D452" s="7" t="s">
        <v>20</v>
      </c>
      <c r="E452" s="1"/>
      <c r="F452" s="8" t="s">
        <v>1072</v>
      </c>
      <c r="G452" s="1"/>
      <c r="M452" s="1"/>
      <c r="N452" s="6">
        <v>1.0</v>
      </c>
      <c r="O452" s="6" t="s">
        <v>25</v>
      </c>
      <c r="P452" s="6">
        <v>0.0</v>
      </c>
      <c r="Q452" s="6">
        <v>1.0</v>
      </c>
      <c r="R452" s="6" t="s">
        <v>26</v>
      </c>
      <c r="S452" s="6" t="s">
        <v>27</v>
      </c>
      <c r="T452" s="6" t="s">
        <v>52</v>
      </c>
    </row>
    <row r="453">
      <c r="B453" s="6" t="s">
        <v>1073</v>
      </c>
      <c r="C453" s="7" t="str">
        <f t="shared" si="1"/>
        <v>NYT</v>
      </c>
      <c r="D453" s="7" t="s">
        <v>20</v>
      </c>
      <c r="E453" s="1"/>
      <c r="F453" s="8" t="s">
        <v>1074</v>
      </c>
      <c r="G453" s="1"/>
      <c r="M453" s="1"/>
      <c r="N453" s="6">
        <v>1.0</v>
      </c>
      <c r="O453" s="6" t="s">
        <v>25</v>
      </c>
      <c r="P453" s="6">
        <v>0.0</v>
      </c>
      <c r="Q453" s="6">
        <v>1.0</v>
      </c>
      <c r="R453" s="6" t="s">
        <v>26</v>
      </c>
      <c r="S453" s="6" t="s">
        <v>27</v>
      </c>
      <c r="T453" s="6" t="s">
        <v>44</v>
      </c>
    </row>
    <row r="454">
      <c r="B454" s="6" t="s">
        <v>1075</v>
      </c>
      <c r="C454" s="7" t="str">
        <f t="shared" si="1"/>
        <v>NYT</v>
      </c>
      <c r="D454" s="7" t="s">
        <v>20</v>
      </c>
      <c r="E454" s="1"/>
      <c r="F454" s="8" t="s">
        <v>1076</v>
      </c>
      <c r="G454" s="1"/>
      <c r="M454" s="1"/>
      <c r="N454" s="6">
        <v>1.0</v>
      </c>
      <c r="O454" s="6" t="s">
        <v>25</v>
      </c>
      <c r="P454" s="6">
        <v>0.0</v>
      </c>
      <c r="Q454" s="6">
        <v>1.0</v>
      </c>
      <c r="R454" s="6" t="s">
        <v>26</v>
      </c>
      <c r="S454" s="6" t="s">
        <v>27</v>
      </c>
      <c r="T454" s="6" t="s">
        <v>248</v>
      </c>
    </row>
    <row r="455">
      <c r="B455" s="6" t="s">
        <v>1077</v>
      </c>
      <c r="C455" s="7" t="str">
        <f t="shared" si="1"/>
        <v>NYT</v>
      </c>
      <c r="D455" s="7" t="s">
        <v>20</v>
      </c>
      <c r="E455" s="1"/>
      <c r="F455" s="8" t="s">
        <v>1078</v>
      </c>
      <c r="G455" s="1"/>
      <c r="M455" s="1"/>
      <c r="N455" s="6">
        <v>1.0</v>
      </c>
      <c r="O455" s="6" t="s">
        <v>25</v>
      </c>
      <c r="P455" s="6">
        <v>0.0</v>
      </c>
      <c r="Q455" s="6">
        <v>1.0</v>
      </c>
      <c r="R455" s="6" t="s">
        <v>26</v>
      </c>
      <c r="S455" s="6" t="s">
        <v>27</v>
      </c>
      <c r="T455" s="6" t="s">
        <v>85</v>
      </c>
    </row>
    <row r="456">
      <c r="B456" s="6" t="s">
        <v>1079</v>
      </c>
      <c r="C456" s="7" t="str">
        <f t="shared" si="1"/>
        <v>NYT</v>
      </c>
      <c r="D456" s="7" t="s">
        <v>20</v>
      </c>
      <c r="E456" s="1"/>
      <c r="F456" s="8" t="s">
        <v>1080</v>
      </c>
      <c r="G456" s="1"/>
      <c r="M456" s="1"/>
      <c r="N456" s="6">
        <v>1.0</v>
      </c>
      <c r="O456" s="6" t="s">
        <v>25</v>
      </c>
      <c r="P456" s="6">
        <v>0.0</v>
      </c>
      <c r="Q456" s="6">
        <v>1.0</v>
      </c>
      <c r="R456" s="6" t="s">
        <v>26</v>
      </c>
      <c r="S456" s="6" t="s">
        <v>27</v>
      </c>
      <c r="T456" s="6" t="s">
        <v>85</v>
      </c>
    </row>
    <row r="457">
      <c r="B457" s="6" t="s">
        <v>1081</v>
      </c>
      <c r="C457" s="7" t="str">
        <f t="shared" si="1"/>
        <v>NYT</v>
      </c>
      <c r="D457" s="7" t="s">
        <v>20</v>
      </c>
      <c r="E457" s="1"/>
      <c r="F457" s="8" t="s">
        <v>1082</v>
      </c>
      <c r="G457" s="1"/>
      <c r="M457" s="1"/>
      <c r="N457" s="6">
        <v>1.0</v>
      </c>
      <c r="O457" s="6" t="s">
        <v>25</v>
      </c>
      <c r="P457" s="6">
        <v>0.0</v>
      </c>
      <c r="Q457" s="6">
        <v>1.0</v>
      </c>
      <c r="R457" s="6" t="s">
        <v>26</v>
      </c>
      <c r="S457" s="6" t="s">
        <v>27</v>
      </c>
      <c r="T457" s="6" t="s">
        <v>285</v>
      </c>
    </row>
    <row r="458">
      <c r="B458" s="6" t="s">
        <v>1083</v>
      </c>
      <c r="C458" s="7" t="str">
        <f t="shared" si="1"/>
        <v>NYT</v>
      </c>
      <c r="D458" s="7" t="s">
        <v>20</v>
      </c>
      <c r="E458" s="1"/>
      <c r="F458" s="8" t="s">
        <v>1084</v>
      </c>
      <c r="G458" s="1"/>
      <c r="M458" s="1"/>
      <c r="N458" s="6">
        <v>1.0</v>
      </c>
      <c r="O458" s="6" t="s">
        <v>25</v>
      </c>
      <c r="P458" s="6">
        <v>0.0</v>
      </c>
      <c r="Q458" s="6">
        <v>1.0</v>
      </c>
      <c r="R458" s="6" t="s">
        <v>26</v>
      </c>
      <c r="S458" s="6" t="s">
        <v>27</v>
      </c>
      <c r="T458" s="6" t="s">
        <v>101</v>
      </c>
    </row>
    <row r="459">
      <c r="B459" s="6" t="s">
        <v>1085</v>
      </c>
      <c r="C459" s="7" t="str">
        <f t="shared" si="1"/>
        <v>NYT</v>
      </c>
      <c r="D459" s="7" t="s">
        <v>20</v>
      </c>
      <c r="E459" s="1"/>
      <c r="F459" s="8" t="s">
        <v>1086</v>
      </c>
      <c r="G459" s="1"/>
      <c r="M459" s="1"/>
      <c r="N459" s="6">
        <v>1.0</v>
      </c>
      <c r="O459" s="6" t="s">
        <v>25</v>
      </c>
      <c r="P459" s="6">
        <v>0.0</v>
      </c>
      <c r="Q459" s="6">
        <v>1.0</v>
      </c>
      <c r="R459" s="6" t="s">
        <v>26</v>
      </c>
      <c r="S459" s="6" t="s">
        <v>27</v>
      </c>
      <c r="T459" s="6" t="s">
        <v>90</v>
      </c>
    </row>
    <row r="460">
      <c r="B460" s="6" t="s">
        <v>1087</v>
      </c>
      <c r="C460" s="7" t="str">
        <f t="shared" si="1"/>
        <v>NYT</v>
      </c>
      <c r="D460" s="7" t="s">
        <v>20</v>
      </c>
      <c r="E460" s="1"/>
      <c r="F460" s="8" t="s">
        <v>1088</v>
      </c>
      <c r="G460" s="1"/>
      <c r="M460" s="1"/>
      <c r="N460" s="6">
        <v>1.0</v>
      </c>
      <c r="O460" s="6" t="s">
        <v>25</v>
      </c>
      <c r="P460" s="6">
        <v>0.0</v>
      </c>
      <c r="Q460" s="6">
        <v>1.0</v>
      </c>
      <c r="R460" s="6" t="s">
        <v>26</v>
      </c>
      <c r="S460" s="6" t="s">
        <v>27</v>
      </c>
      <c r="T460" s="6" t="s">
        <v>32</v>
      </c>
    </row>
    <row r="461">
      <c r="B461" s="6" t="s">
        <v>1089</v>
      </c>
      <c r="C461" s="7" t="str">
        <f t="shared" si="1"/>
        <v>NYT</v>
      </c>
      <c r="D461" s="7" t="s">
        <v>20</v>
      </c>
      <c r="E461" s="1"/>
      <c r="F461" s="8" t="s">
        <v>1090</v>
      </c>
      <c r="G461" s="1"/>
      <c r="M461" s="1"/>
      <c r="N461" s="6">
        <v>1.0</v>
      </c>
      <c r="O461" s="6" t="s">
        <v>25</v>
      </c>
      <c r="P461" s="6">
        <v>0.0</v>
      </c>
      <c r="Q461" s="6">
        <v>1.0</v>
      </c>
      <c r="R461" s="6" t="s">
        <v>26</v>
      </c>
      <c r="S461" s="6" t="s">
        <v>27</v>
      </c>
      <c r="T461" s="6" t="s">
        <v>76</v>
      </c>
    </row>
    <row r="462">
      <c r="B462" s="6" t="s">
        <v>1091</v>
      </c>
      <c r="C462" s="7" t="str">
        <f t="shared" si="1"/>
        <v>NYT</v>
      </c>
      <c r="D462" s="7" t="s">
        <v>20</v>
      </c>
      <c r="E462" s="1"/>
      <c r="F462" s="8" t="s">
        <v>1092</v>
      </c>
      <c r="G462" s="1"/>
      <c r="M462" s="1"/>
      <c r="N462" s="6">
        <v>1.0</v>
      </c>
      <c r="O462" s="6" t="s">
        <v>25</v>
      </c>
      <c r="P462" s="6">
        <v>0.0</v>
      </c>
      <c r="Q462" s="6">
        <v>1.0</v>
      </c>
      <c r="R462" s="6" t="s">
        <v>26</v>
      </c>
      <c r="S462" s="6" t="s">
        <v>27</v>
      </c>
      <c r="T462" s="6" t="s">
        <v>131</v>
      </c>
    </row>
    <row r="463">
      <c r="B463" s="6" t="s">
        <v>1093</v>
      </c>
      <c r="C463" s="7" t="str">
        <f t="shared" si="1"/>
        <v>NYT</v>
      </c>
      <c r="D463" s="7" t="s">
        <v>20</v>
      </c>
      <c r="E463" s="1"/>
      <c r="F463" s="8" t="s">
        <v>1094</v>
      </c>
      <c r="G463" s="1"/>
      <c r="M463" s="1"/>
      <c r="N463" s="6">
        <v>1.0</v>
      </c>
      <c r="O463" s="6" t="s">
        <v>25</v>
      </c>
      <c r="P463" s="6">
        <v>0.0</v>
      </c>
      <c r="Q463" s="6">
        <v>1.0</v>
      </c>
      <c r="R463" s="6" t="s">
        <v>26</v>
      </c>
      <c r="S463" s="6" t="s">
        <v>27</v>
      </c>
      <c r="T463" s="6" t="s">
        <v>48</v>
      </c>
    </row>
    <row r="464">
      <c r="B464" s="6" t="s">
        <v>1095</v>
      </c>
      <c r="C464" s="7" t="str">
        <f t="shared" si="1"/>
        <v>NYT</v>
      </c>
      <c r="D464" s="7" t="s">
        <v>20</v>
      </c>
      <c r="E464" s="1"/>
      <c r="F464" s="8" t="s">
        <v>1096</v>
      </c>
      <c r="G464" s="1"/>
      <c r="M464" s="1"/>
      <c r="N464" s="6">
        <v>1.0</v>
      </c>
      <c r="O464" s="6" t="s">
        <v>25</v>
      </c>
      <c r="P464" s="6">
        <v>0.0</v>
      </c>
      <c r="Q464" s="6">
        <v>1.0</v>
      </c>
      <c r="R464" s="6" t="s">
        <v>26</v>
      </c>
      <c r="S464" s="6" t="s">
        <v>27</v>
      </c>
      <c r="T464" s="6" t="s">
        <v>64</v>
      </c>
    </row>
    <row r="465">
      <c r="B465" s="6" t="s">
        <v>1097</v>
      </c>
      <c r="C465" s="7" t="str">
        <f t="shared" si="1"/>
        <v>NYT</v>
      </c>
      <c r="D465" s="7" t="s">
        <v>20</v>
      </c>
      <c r="E465" s="1"/>
      <c r="F465" s="8" t="s">
        <v>1060</v>
      </c>
      <c r="G465" s="1"/>
      <c r="M465" s="1"/>
      <c r="N465" s="6">
        <v>1.0</v>
      </c>
      <c r="O465" s="6" t="s">
        <v>25</v>
      </c>
      <c r="P465" s="6">
        <v>0.0</v>
      </c>
      <c r="Q465" s="6">
        <v>1.0</v>
      </c>
      <c r="R465" s="6" t="s">
        <v>26</v>
      </c>
      <c r="S465" s="6" t="s">
        <v>27</v>
      </c>
      <c r="T465" s="6" t="s">
        <v>76</v>
      </c>
    </row>
    <row r="466">
      <c r="B466" s="6" t="s">
        <v>1098</v>
      </c>
      <c r="C466" s="7" t="str">
        <f t="shared" si="1"/>
        <v>NYT</v>
      </c>
      <c r="D466" s="7" t="s">
        <v>20</v>
      </c>
      <c r="E466" s="1"/>
      <c r="F466" s="8" t="s">
        <v>1099</v>
      </c>
      <c r="G466" s="1"/>
      <c r="M466" s="1"/>
      <c r="N466" s="6">
        <v>1.0</v>
      </c>
      <c r="O466" s="6" t="s">
        <v>25</v>
      </c>
      <c r="P466" s="6">
        <v>0.0</v>
      </c>
      <c r="Q466" s="6">
        <v>1.0</v>
      </c>
      <c r="R466" s="6" t="s">
        <v>26</v>
      </c>
      <c r="S466" s="6" t="s">
        <v>27</v>
      </c>
      <c r="T466" s="6" t="s">
        <v>1100</v>
      </c>
    </row>
    <row r="467">
      <c r="B467" s="6" t="s">
        <v>1101</v>
      </c>
      <c r="C467" s="7" t="str">
        <f t="shared" si="1"/>
        <v>NYT</v>
      </c>
      <c r="D467" s="7" t="s">
        <v>20</v>
      </c>
      <c r="E467" s="1"/>
      <c r="F467" s="8" t="s">
        <v>1102</v>
      </c>
      <c r="G467" s="1"/>
      <c r="M467" s="1"/>
      <c r="N467" s="6">
        <v>1.0</v>
      </c>
      <c r="O467" s="6" t="s">
        <v>25</v>
      </c>
      <c r="P467" s="6">
        <v>0.0</v>
      </c>
      <c r="Q467" s="6">
        <v>1.0</v>
      </c>
      <c r="R467" s="6" t="s">
        <v>26</v>
      </c>
      <c r="S467" s="6" t="s">
        <v>27</v>
      </c>
      <c r="T467" s="6" t="s">
        <v>67</v>
      </c>
    </row>
    <row r="468">
      <c r="B468" s="6" t="s">
        <v>1103</v>
      </c>
      <c r="C468" s="7" t="str">
        <f t="shared" si="1"/>
        <v>NYT</v>
      </c>
      <c r="D468" s="7" t="s">
        <v>20</v>
      </c>
      <c r="E468" s="1"/>
      <c r="F468" s="8" t="s">
        <v>1104</v>
      </c>
      <c r="G468" s="1"/>
      <c r="M468" s="1"/>
      <c r="N468" s="6">
        <v>1.0</v>
      </c>
      <c r="O468" s="6" t="s">
        <v>25</v>
      </c>
      <c r="P468" s="6">
        <v>0.0</v>
      </c>
      <c r="Q468" s="6">
        <v>1.0</v>
      </c>
      <c r="R468" s="6" t="s">
        <v>26</v>
      </c>
      <c r="S468" s="6" t="s">
        <v>27</v>
      </c>
      <c r="T468" s="6" t="s">
        <v>101</v>
      </c>
    </row>
    <row r="469">
      <c r="B469" s="6" t="s">
        <v>1105</v>
      </c>
      <c r="C469" s="7" t="str">
        <f t="shared" si="1"/>
        <v>NYT</v>
      </c>
      <c r="D469" s="7" t="s">
        <v>20</v>
      </c>
      <c r="E469" s="1"/>
      <c r="F469" s="8" t="s">
        <v>1106</v>
      </c>
      <c r="G469" s="1"/>
      <c r="M469" s="1"/>
      <c r="N469" s="6">
        <v>1.0</v>
      </c>
      <c r="O469" s="6" t="s">
        <v>25</v>
      </c>
      <c r="P469" s="6">
        <v>0.0</v>
      </c>
      <c r="Q469" s="6">
        <v>1.0</v>
      </c>
      <c r="R469" s="6" t="s">
        <v>26</v>
      </c>
      <c r="S469" s="6" t="s">
        <v>27</v>
      </c>
      <c r="T469" s="6" t="s">
        <v>1107</v>
      </c>
    </row>
    <row r="470">
      <c r="B470" s="6" t="s">
        <v>1108</v>
      </c>
      <c r="C470" s="7" t="str">
        <f t="shared" si="1"/>
        <v/>
      </c>
      <c r="D470" s="7" t="s">
        <v>20</v>
      </c>
      <c r="E470" s="1"/>
      <c r="F470" s="8" t="s">
        <v>1109</v>
      </c>
      <c r="G470" s="1"/>
      <c r="M470" s="1"/>
      <c r="N470" s="6">
        <v>0.0</v>
      </c>
      <c r="O470" s="6" t="s">
        <v>43</v>
      </c>
      <c r="P470" s="6"/>
      <c r="Q470" s="6">
        <v>1.0</v>
      </c>
      <c r="R470" s="6" t="s">
        <v>26</v>
      </c>
      <c r="S470" s="6" t="s">
        <v>27</v>
      </c>
      <c r="T470" s="6" t="s">
        <v>76</v>
      </c>
    </row>
    <row r="471">
      <c r="B471" s="6" t="s">
        <v>1110</v>
      </c>
      <c r="C471" s="7" t="str">
        <f t="shared" si="1"/>
        <v/>
      </c>
      <c r="D471" s="7" t="s">
        <v>20</v>
      </c>
      <c r="E471" s="7"/>
      <c r="F471" s="8" t="s">
        <v>1111</v>
      </c>
      <c r="G471" s="8" t="s">
        <v>1112</v>
      </c>
      <c r="H471" s="9" t="str">
        <f>LEFT(G471, LEN(G471)-1)</f>
        <v>https://www.overcomingbias.com</v>
      </c>
      <c r="I471" s="9" t="str">
        <f>IFERROR(__xludf.DUMMYFUNCTION("IF(REGEXMATCH(H471,""www""),RIGHT(H471,LEN(H471)-FIND(""."",H471)+0),if(regexmatch(H471,""https://""),right(H471,len(H471)-find(""/"",H471)-1),H471))"),"overcomingbias.com")</f>
        <v>overcomingbias.com</v>
      </c>
      <c r="J471" s="9" t="str">
        <f>I471</f>
        <v>overcomingbias.com</v>
      </c>
      <c r="K471" s="9" t="s">
        <v>23</v>
      </c>
      <c r="L471" s="6" t="s">
        <v>176</v>
      </c>
      <c r="M471" s="8" t="str">
        <f>K471&amp;J471&amp;L471</f>
        <v>https://newsapi.org/v2/everything?domains=overcomingbias.com&amp;apiKey=7d4cb29b783f48c8a1837901e959f134</v>
      </c>
      <c r="N471" s="6">
        <v>0.0</v>
      </c>
      <c r="O471" s="6" t="s">
        <v>39</v>
      </c>
      <c r="P471" s="6"/>
      <c r="Q471" s="6">
        <v>1.0</v>
      </c>
      <c r="R471" s="6" t="s">
        <v>26</v>
      </c>
      <c r="S471" s="6" t="s">
        <v>27</v>
      </c>
      <c r="T471" s="6" t="s">
        <v>70</v>
      </c>
    </row>
    <row r="472">
      <c r="B472" s="6" t="s">
        <v>1113</v>
      </c>
      <c r="C472" s="7" t="str">
        <f t="shared" si="1"/>
        <v/>
      </c>
      <c r="D472" s="7" t="s">
        <v>20</v>
      </c>
      <c r="E472" s="1"/>
      <c r="F472" s="8" t="s">
        <v>1114</v>
      </c>
      <c r="G472" s="1"/>
      <c r="M472" s="1"/>
      <c r="N472" s="6">
        <v>0.0</v>
      </c>
      <c r="O472" s="6" t="s">
        <v>25</v>
      </c>
      <c r="P472" s="6"/>
      <c r="Q472" s="6">
        <v>1.0</v>
      </c>
      <c r="R472" s="6" t="s">
        <v>26</v>
      </c>
      <c r="S472" s="6" t="s">
        <v>27</v>
      </c>
      <c r="T472" s="6" t="s">
        <v>241</v>
      </c>
    </row>
    <row r="473">
      <c r="B473" s="6" t="s">
        <v>1115</v>
      </c>
      <c r="C473" s="7" t="str">
        <f t="shared" si="1"/>
        <v/>
      </c>
      <c r="D473" s="7" t="s">
        <v>20</v>
      </c>
      <c r="E473" s="1"/>
      <c r="F473" s="11" t="s">
        <v>1116</v>
      </c>
      <c r="G473" s="1"/>
      <c r="M473" s="1"/>
      <c r="N473" s="6">
        <v>0.0</v>
      </c>
      <c r="O473" s="6" t="s">
        <v>43</v>
      </c>
      <c r="P473" s="6"/>
      <c r="Q473" s="6">
        <v>1.0</v>
      </c>
      <c r="R473" s="6" t="s">
        <v>26</v>
      </c>
      <c r="S473" s="6" t="s">
        <v>27</v>
      </c>
      <c r="T473" s="6" t="s">
        <v>56</v>
      </c>
    </row>
    <row r="474">
      <c r="B474" s="6" t="s">
        <v>1117</v>
      </c>
      <c r="C474" s="7" t="str">
        <f t="shared" si="1"/>
        <v/>
      </c>
      <c r="D474" s="7" t="s">
        <v>20</v>
      </c>
      <c r="E474" s="12"/>
      <c r="F474" s="11" t="s">
        <v>1118</v>
      </c>
      <c r="G474" s="11" t="s">
        <v>1119</v>
      </c>
      <c r="H474" s="9" t="str">
        <f t="shared" ref="H474:H478" si="121">LEFT(G474, LEN(G474)-1)</f>
        <v>http://paulgraham.com</v>
      </c>
      <c r="I474" s="9" t="str">
        <f>IFERROR(__xludf.DUMMYFUNCTION("IF(REGEXMATCH(H474,""www""),RIGHT(H474,LEN(H474)-FIND(""."",H474)+0),if(regexmatch(H474,""https://""),right(H474,len(H474)-find(""/"",H474)-1),H474))"),"http://paulgraham.com")</f>
        <v>http://paulgraham.com</v>
      </c>
      <c r="J474" s="9" t="str">
        <f t="shared" ref="J474:J478" si="122">I474</f>
        <v>http://paulgraham.com</v>
      </c>
      <c r="K474" s="9" t="s">
        <v>23</v>
      </c>
      <c r="L474" s="6" t="s">
        <v>176</v>
      </c>
      <c r="M474" s="8" t="str">
        <f t="shared" ref="M474:M478" si="123">K474&amp;J474&amp;L474</f>
        <v>https://newsapi.org/v2/everything?domains=http://paulgraham.com&amp;apiKey=7d4cb29b783f48c8a1837901e959f134</v>
      </c>
      <c r="N474" s="6">
        <v>0.0</v>
      </c>
      <c r="O474" s="6" t="s">
        <v>39</v>
      </c>
      <c r="P474" s="6"/>
      <c r="Q474" s="6">
        <v>1.0</v>
      </c>
      <c r="R474" s="6" t="s">
        <v>26</v>
      </c>
      <c r="S474" s="6" t="s">
        <v>27</v>
      </c>
      <c r="T474" s="6" t="s">
        <v>76</v>
      </c>
    </row>
    <row r="475">
      <c r="B475" s="6" t="s">
        <v>1120</v>
      </c>
      <c r="C475" s="7" t="str">
        <f t="shared" si="1"/>
        <v/>
      </c>
      <c r="D475" s="7" t="s">
        <v>50</v>
      </c>
      <c r="E475" s="7">
        <v>100.0</v>
      </c>
      <c r="F475" s="7"/>
      <c r="G475" s="8" t="s">
        <v>1121</v>
      </c>
      <c r="H475" s="9" t="str">
        <f t="shared" si="121"/>
        <v>https://www.pcmag.com</v>
      </c>
      <c r="I475" s="9" t="str">
        <f>IFERROR(__xludf.DUMMYFUNCTION("IF(REGEXMATCH(H475,""www""),RIGHT(H475,LEN(H475)-FIND(""."",H475)+0),if(regexmatch(H475,""https://""),right(H475,len(H475)-find(""/"",H475)-1),H475))"),"pcmag.com")</f>
        <v>pcmag.com</v>
      </c>
      <c r="J475" s="9" t="str">
        <f t="shared" si="122"/>
        <v>pcmag.com</v>
      </c>
      <c r="K475" s="9" t="s">
        <v>23</v>
      </c>
      <c r="L475" s="6" t="s">
        <v>24</v>
      </c>
      <c r="M475" s="8" t="str">
        <f t="shared" si="123"/>
        <v>https://newsapi.org/v2/everything?domains=pcmag.com&amp;apiKey=ae2ad3e68d4e4daca149bbfb9b61c010</v>
      </c>
      <c r="N475" s="6">
        <v>1.0</v>
      </c>
      <c r="O475" s="6" t="s">
        <v>25</v>
      </c>
      <c r="P475" s="6"/>
      <c r="Q475" s="6">
        <v>1.0</v>
      </c>
      <c r="R475" s="6" t="s">
        <v>26</v>
      </c>
      <c r="S475" s="6" t="s">
        <v>27</v>
      </c>
      <c r="T475" s="6" t="s">
        <v>76</v>
      </c>
    </row>
    <row r="476">
      <c r="B476" s="6" t="s">
        <v>1122</v>
      </c>
      <c r="C476" s="7" t="str">
        <f t="shared" si="1"/>
        <v/>
      </c>
      <c r="D476" s="7" t="s">
        <v>50</v>
      </c>
      <c r="E476" s="7">
        <v>100.0</v>
      </c>
      <c r="F476" s="7"/>
      <c r="G476" s="8" t="s">
        <v>1123</v>
      </c>
      <c r="H476" s="9" t="str">
        <f t="shared" si="121"/>
        <v>https://www.pcworld.com</v>
      </c>
      <c r="I476" s="9" t="str">
        <f>IFERROR(__xludf.DUMMYFUNCTION("IF(REGEXMATCH(H476,""www""),RIGHT(H476,LEN(H476)-FIND(""."",H476)+0),if(regexmatch(H476,""https://""),right(H476,len(H476)-find(""/"",H476)-1),H476))"),"pcworld.com")</f>
        <v>pcworld.com</v>
      </c>
      <c r="J476" s="9" t="str">
        <f t="shared" si="122"/>
        <v>pcworld.com</v>
      </c>
      <c r="K476" s="9" t="s">
        <v>23</v>
      </c>
      <c r="L476" s="6" t="s">
        <v>24</v>
      </c>
      <c r="M476" s="8" t="str">
        <f t="shared" si="123"/>
        <v>https://newsapi.org/v2/everything?domains=pcworld.com&amp;apiKey=ae2ad3e68d4e4daca149bbfb9b61c010</v>
      </c>
      <c r="N476" s="6">
        <v>1.0</v>
      </c>
      <c r="O476" s="6" t="s">
        <v>25</v>
      </c>
      <c r="P476" s="6"/>
      <c r="Q476" s="6">
        <v>1.0</v>
      </c>
      <c r="R476" s="6" t="s">
        <v>26</v>
      </c>
      <c r="S476" s="6" t="s">
        <v>27</v>
      </c>
      <c r="T476" s="6" t="s">
        <v>76</v>
      </c>
    </row>
    <row r="477">
      <c r="B477" s="6" t="s">
        <v>1124</v>
      </c>
      <c r="C477" s="7" t="str">
        <f t="shared" si="1"/>
        <v/>
      </c>
      <c r="D477" s="7" t="s">
        <v>30</v>
      </c>
      <c r="E477" s="8" t="s">
        <v>1125</v>
      </c>
      <c r="F477" s="7"/>
      <c r="G477" s="8" t="s">
        <v>1126</v>
      </c>
      <c r="H477" s="9" t="str">
        <f t="shared" si="121"/>
        <v>https://www.pentagram.com</v>
      </c>
      <c r="I477" s="9" t="str">
        <f>IFERROR(__xludf.DUMMYFUNCTION("IF(REGEXMATCH(H477,""www""),RIGHT(H477,LEN(H477)-FIND(""."",H477)+0),if(regexmatch(H477,""https://""),right(H477,len(H477)-find(""/"",H477)-1),H477))"),"pentagram.com")</f>
        <v>pentagram.com</v>
      </c>
      <c r="J477" s="9" t="str">
        <f t="shared" si="122"/>
        <v>pentagram.com</v>
      </c>
      <c r="K477" s="9" t="s">
        <v>23</v>
      </c>
      <c r="L477" s="6" t="s">
        <v>176</v>
      </c>
      <c r="M477" s="8" t="str">
        <f t="shared" si="123"/>
        <v>https://newsapi.org/v2/everything?domains=pentagram.com&amp;apiKey=7d4cb29b783f48c8a1837901e959f134</v>
      </c>
      <c r="N477" s="6">
        <v>0.0</v>
      </c>
      <c r="O477" s="6" t="s">
        <v>25</v>
      </c>
      <c r="P477" s="6"/>
      <c r="Q477" s="6">
        <v>1.0</v>
      </c>
      <c r="R477" s="6" t="s">
        <v>26</v>
      </c>
      <c r="S477" s="6" t="s">
        <v>27</v>
      </c>
      <c r="T477" s="6" t="s">
        <v>52</v>
      </c>
    </row>
    <row r="478">
      <c r="B478" s="6" t="s">
        <v>1127</v>
      </c>
      <c r="C478" s="7" t="str">
        <f t="shared" si="1"/>
        <v/>
      </c>
      <c r="D478" s="7" t="s">
        <v>20</v>
      </c>
      <c r="E478" s="12"/>
      <c r="F478" s="11" t="s">
        <v>1128</v>
      </c>
      <c r="G478" s="11" t="s">
        <v>1129</v>
      </c>
      <c r="H478" s="9" t="str">
        <f t="shared" si="121"/>
        <v>https://petapixel.com</v>
      </c>
      <c r="I478" s="9" t="str">
        <f>IFERROR(__xludf.DUMMYFUNCTION("IF(REGEXMATCH(H478,""www""),RIGHT(H478,LEN(H478)-FIND(""."",H478)+0),if(regexmatch(H478,""https://""),right(H478,len(H478)-find(""/"",H478)-1),H478))"),"petapixel.com")</f>
        <v>petapixel.com</v>
      </c>
      <c r="J478" s="9" t="str">
        <f t="shared" si="122"/>
        <v>petapixel.com</v>
      </c>
      <c r="K478" s="9" t="s">
        <v>23</v>
      </c>
      <c r="L478" s="6" t="s">
        <v>176</v>
      </c>
      <c r="M478" s="8" t="str">
        <f t="shared" si="123"/>
        <v>https://newsapi.org/v2/everything?domains=petapixel.com&amp;apiKey=7d4cb29b783f48c8a1837901e959f134</v>
      </c>
      <c r="N478" s="6">
        <v>1.0</v>
      </c>
      <c r="O478" s="6" t="s">
        <v>25</v>
      </c>
      <c r="P478" s="6"/>
      <c r="Q478" s="6">
        <v>1.0</v>
      </c>
      <c r="R478" s="6" t="s">
        <v>26</v>
      </c>
      <c r="S478" s="6" t="s">
        <v>27</v>
      </c>
      <c r="T478" s="6" t="s">
        <v>333</v>
      </c>
    </row>
    <row r="479">
      <c r="B479" s="6" t="s">
        <v>1130</v>
      </c>
      <c r="C479" s="7" t="str">
        <f t="shared" si="1"/>
        <v/>
      </c>
      <c r="D479" s="7" t="s">
        <v>20</v>
      </c>
      <c r="E479" s="1"/>
      <c r="F479" s="11" t="s">
        <v>1131</v>
      </c>
      <c r="G479" s="1"/>
      <c r="M479" s="1"/>
      <c r="N479" s="6">
        <v>0.0</v>
      </c>
      <c r="O479" s="6" t="s">
        <v>43</v>
      </c>
      <c r="P479" s="6"/>
      <c r="Q479" s="6">
        <v>1.0</v>
      </c>
      <c r="R479" s="6" t="s">
        <v>26</v>
      </c>
      <c r="S479" s="6" t="s">
        <v>27</v>
      </c>
      <c r="T479" s="6" t="s">
        <v>32</v>
      </c>
    </row>
    <row r="480">
      <c r="B480" s="6" t="s">
        <v>1132</v>
      </c>
      <c r="C480" s="7" t="str">
        <f t="shared" si="1"/>
        <v/>
      </c>
      <c r="D480" s="7" t="s">
        <v>20</v>
      </c>
      <c r="E480" s="12"/>
      <c r="F480" s="11" t="s">
        <v>1133</v>
      </c>
      <c r="G480" s="11" t="s">
        <v>1134</v>
      </c>
      <c r="H480" s="9" t="str">
        <f t="shared" ref="H480:H483" si="124">LEFT(G480, LEN(G480)-1)</f>
        <v>https://www.piie.com</v>
      </c>
      <c r="I480" s="9" t="str">
        <f>IFERROR(__xludf.DUMMYFUNCTION("IF(REGEXMATCH(H480,""www""),RIGHT(H480,LEN(H480)-FIND(""."",H480)+0),if(regexmatch(H480,""https://""),right(H480,len(H480)-find(""/"",H480)-1),H480))"),"piie.com")</f>
        <v>piie.com</v>
      </c>
      <c r="J480" s="9" t="str">
        <f t="shared" ref="J480:J483" si="125">I480</f>
        <v>piie.com</v>
      </c>
      <c r="K480" s="9" t="s">
        <v>23</v>
      </c>
      <c r="L480" s="6" t="s">
        <v>176</v>
      </c>
      <c r="M480" s="8" t="str">
        <f t="shared" ref="M480:M483" si="126">K480&amp;J480&amp;L480</f>
        <v>https://newsapi.org/v2/everything?domains=piie.com&amp;apiKey=7d4cb29b783f48c8a1837901e959f134</v>
      </c>
      <c r="N480" s="6">
        <v>0.0</v>
      </c>
      <c r="O480" s="6" t="s">
        <v>25</v>
      </c>
      <c r="P480" s="6"/>
      <c r="Q480" s="6">
        <v>1.0</v>
      </c>
      <c r="R480" s="6" t="s">
        <v>26</v>
      </c>
      <c r="S480" s="6" t="s">
        <v>27</v>
      </c>
      <c r="T480" s="6" t="s">
        <v>248</v>
      </c>
    </row>
    <row r="481">
      <c r="B481" s="6" t="s">
        <v>1135</v>
      </c>
      <c r="C481" s="7" t="str">
        <f t="shared" si="1"/>
        <v/>
      </c>
      <c r="D481" s="7" t="s">
        <v>30</v>
      </c>
      <c r="E481" s="7">
        <v>100.0</v>
      </c>
      <c r="F481" s="7"/>
      <c r="G481" s="8" t="s">
        <v>1136</v>
      </c>
      <c r="H481" s="9" t="str">
        <f t="shared" si="124"/>
        <v>https://www.philosophersmag.com</v>
      </c>
      <c r="I481" s="9" t="str">
        <f>IFERROR(__xludf.DUMMYFUNCTION("IF(REGEXMATCH(H481,""www""),RIGHT(H481,LEN(H481)-FIND(""."",H481)+0),if(regexmatch(H481,""https://""),right(H481,len(H481)-find(""/"",H481)-1),H481))"),"philosophersmag.com")</f>
        <v>philosophersmag.com</v>
      </c>
      <c r="J481" s="9" t="str">
        <f t="shared" si="125"/>
        <v>philosophersmag.com</v>
      </c>
      <c r="K481" s="9" t="s">
        <v>23</v>
      </c>
      <c r="L481" s="6" t="s">
        <v>176</v>
      </c>
      <c r="M481" s="8" t="str">
        <f t="shared" si="126"/>
        <v>https://newsapi.org/v2/everything?domains=philosophersmag.com&amp;apiKey=7d4cb29b783f48c8a1837901e959f134</v>
      </c>
      <c r="N481" s="6">
        <v>0.0</v>
      </c>
      <c r="O481" s="6" t="s">
        <v>25</v>
      </c>
      <c r="P481" s="6"/>
      <c r="Q481" s="6">
        <v>1.0</v>
      </c>
      <c r="R481" s="6" t="s">
        <v>26</v>
      </c>
      <c r="S481" s="6" t="s">
        <v>27</v>
      </c>
      <c r="T481" s="6" t="s">
        <v>28</v>
      </c>
    </row>
    <row r="482">
      <c r="B482" s="6" t="s">
        <v>1137</v>
      </c>
      <c r="C482" s="7" t="str">
        <f t="shared" si="1"/>
        <v/>
      </c>
      <c r="D482" s="7" t="s">
        <v>20</v>
      </c>
      <c r="E482" s="1"/>
      <c r="F482" s="8" t="s">
        <v>1138</v>
      </c>
      <c r="G482" s="8" t="s">
        <v>1139</v>
      </c>
      <c r="H482" s="9" t="str">
        <f t="shared" si="124"/>
        <v>https://philosophynow.org</v>
      </c>
      <c r="I482" s="9" t="str">
        <f>IFERROR(__xludf.DUMMYFUNCTION("IF(REGEXMATCH(H482,""www""),RIGHT(H482,LEN(H482)-FIND(""."",H482)+0),if(regexmatch(H482,""https://""),right(H482,len(H482)-find(""/"",H482)-1),H482))"),"philosophynow.org")</f>
        <v>philosophynow.org</v>
      </c>
      <c r="J482" s="9" t="str">
        <f t="shared" si="125"/>
        <v>philosophynow.org</v>
      </c>
      <c r="K482" s="9" t="s">
        <v>23</v>
      </c>
      <c r="L482" s="6" t="s">
        <v>24</v>
      </c>
      <c r="M482" s="8" t="str">
        <f t="shared" si="126"/>
        <v>https://newsapi.org/v2/everything?domains=philosophynow.org&amp;apiKey=ae2ad3e68d4e4daca149bbfb9b61c010</v>
      </c>
      <c r="N482" s="6">
        <v>0.0</v>
      </c>
      <c r="O482" s="6" t="s">
        <v>25</v>
      </c>
      <c r="P482" s="6">
        <v>4.0</v>
      </c>
      <c r="Q482" s="6">
        <v>1.0</v>
      </c>
      <c r="R482" s="6" t="s">
        <v>26</v>
      </c>
      <c r="S482" s="6" t="s">
        <v>27</v>
      </c>
      <c r="T482" s="6" t="s">
        <v>28</v>
      </c>
    </row>
    <row r="483">
      <c r="B483" s="6" t="s">
        <v>1140</v>
      </c>
      <c r="C483" s="7" t="str">
        <f t="shared" si="1"/>
        <v/>
      </c>
      <c r="D483" s="7" t="s">
        <v>50</v>
      </c>
      <c r="E483" s="7">
        <v>100.0</v>
      </c>
      <c r="F483" s="7"/>
      <c r="G483" s="8" t="s">
        <v>1141</v>
      </c>
      <c r="H483" s="9" t="str">
        <f t="shared" si="124"/>
        <v>https://www.phoronix.com</v>
      </c>
      <c r="I483" s="9" t="str">
        <f>IFERROR(__xludf.DUMMYFUNCTION("IF(REGEXMATCH(H483,""www""),RIGHT(H483,LEN(H483)-FIND(""."",H483)+0),if(regexmatch(H483,""https://""),right(H483,len(H483)-find(""/"",H483)-1),H483))"),"phoronix.com")</f>
        <v>phoronix.com</v>
      </c>
      <c r="J483" s="9" t="str">
        <f t="shared" si="125"/>
        <v>phoronix.com</v>
      </c>
      <c r="K483" s="9" t="s">
        <v>23</v>
      </c>
      <c r="L483" s="6" t="s">
        <v>176</v>
      </c>
      <c r="M483" s="8" t="str">
        <f t="shared" si="126"/>
        <v>https://newsapi.org/v2/everything?domains=phoronix.com&amp;apiKey=7d4cb29b783f48c8a1837901e959f134</v>
      </c>
      <c r="N483" s="6">
        <v>1.0</v>
      </c>
      <c r="O483" s="6" t="s">
        <v>25</v>
      </c>
      <c r="P483" s="6"/>
      <c r="Q483" s="6">
        <v>1.0</v>
      </c>
      <c r="R483" s="6" t="s">
        <v>26</v>
      </c>
      <c r="S483" s="6" t="s">
        <v>27</v>
      </c>
      <c r="T483" s="6" t="s">
        <v>145</v>
      </c>
    </row>
    <row r="484">
      <c r="B484" s="6" t="s">
        <v>1142</v>
      </c>
      <c r="C484" s="7" t="str">
        <f t="shared" si="1"/>
        <v/>
      </c>
      <c r="D484" s="7" t="s">
        <v>20</v>
      </c>
      <c r="E484" s="1"/>
      <c r="F484" s="8" t="s">
        <v>1143</v>
      </c>
      <c r="G484" s="1"/>
      <c r="M484" s="1"/>
      <c r="N484" s="6">
        <v>0.0</v>
      </c>
      <c r="O484" s="6" t="s">
        <v>25</v>
      </c>
      <c r="P484" s="6"/>
      <c r="Q484" s="6">
        <v>1.0</v>
      </c>
      <c r="R484" s="6" t="s">
        <v>26</v>
      </c>
      <c r="S484" s="6" t="s">
        <v>27</v>
      </c>
      <c r="T484" s="6" t="s">
        <v>333</v>
      </c>
    </row>
    <row r="485">
      <c r="B485" s="6" t="s">
        <v>1144</v>
      </c>
      <c r="C485" s="7" t="str">
        <f t="shared" si="1"/>
        <v/>
      </c>
      <c r="D485" s="7" t="s">
        <v>50</v>
      </c>
      <c r="E485" s="7">
        <v>100.0</v>
      </c>
      <c r="F485" s="7"/>
      <c r="G485" s="8" t="s">
        <v>1145</v>
      </c>
      <c r="H485" s="9" t="str">
        <f t="shared" ref="H485:H488" si="127">LEFT(G485, LEN(G485)-1)</f>
        <v>https://phys.org</v>
      </c>
      <c r="I485" s="9" t="str">
        <f>IFERROR(__xludf.DUMMYFUNCTION("IF(REGEXMATCH(H485,""www""),RIGHT(H485,LEN(H485)-FIND(""."",H485)+0),if(regexmatch(H485,""https://""),right(H485,len(H485)-find(""/"",H485)-1),H485))"),"phys.org")</f>
        <v>phys.org</v>
      </c>
      <c r="J485" s="9" t="str">
        <f t="shared" ref="J485:J488" si="128">I485</f>
        <v>phys.org</v>
      </c>
      <c r="K485" s="9" t="s">
        <v>23</v>
      </c>
      <c r="L485" s="6" t="s">
        <v>176</v>
      </c>
      <c r="M485" s="8" t="str">
        <f t="shared" ref="M485:M488" si="129">K485&amp;J485&amp;L485</f>
        <v>https://newsapi.org/v2/everything?domains=phys.org&amp;apiKey=7d4cb29b783f48c8a1837901e959f134</v>
      </c>
      <c r="N485" s="6">
        <v>1.0</v>
      </c>
      <c r="O485" s="6" t="s">
        <v>25</v>
      </c>
      <c r="P485" s="6"/>
      <c r="Q485" s="6">
        <v>1.0</v>
      </c>
      <c r="R485" s="6" t="s">
        <v>26</v>
      </c>
      <c r="S485" s="6" t="s">
        <v>27</v>
      </c>
      <c r="T485" s="6" t="s">
        <v>101</v>
      </c>
    </row>
    <row r="486">
      <c r="B486" s="6" t="s">
        <v>1146</v>
      </c>
      <c r="C486" s="7" t="str">
        <f t="shared" si="1"/>
        <v/>
      </c>
      <c r="D486" s="7" t="s">
        <v>20</v>
      </c>
      <c r="E486" s="12"/>
      <c r="F486" s="11" t="s">
        <v>1147</v>
      </c>
      <c r="G486" s="11" t="s">
        <v>1148</v>
      </c>
      <c r="H486" s="9" t="str">
        <f t="shared" si="127"/>
        <v>https://physicstoday.scitation.org</v>
      </c>
      <c r="I486" s="9" t="str">
        <f>IFERROR(__xludf.DUMMYFUNCTION("IF(REGEXMATCH(H486,""www""),RIGHT(H486,LEN(H486)-FIND(""."",H486)+0),if(regexmatch(H486,""https://""),right(H486,len(H486)-find(""/"",H486)-1),H486))"),"physicstoday.scitation.org")</f>
        <v>physicstoday.scitation.org</v>
      </c>
      <c r="J486" s="9" t="str">
        <f t="shared" si="128"/>
        <v>physicstoday.scitation.org</v>
      </c>
      <c r="K486" s="9" t="s">
        <v>23</v>
      </c>
      <c r="L486" s="6" t="s">
        <v>24</v>
      </c>
      <c r="M486" s="8" t="str">
        <f t="shared" si="129"/>
        <v>https://newsapi.org/v2/everything?domains=physicstoday.scitation.org&amp;apiKey=ae2ad3e68d4e4daca149bbfb9b61c010</v>
      </c>
      <c r="N486" s="6">
        <v>0.0</v>
      </c>
      <c r="O486" s="6" t="s">
        <v>25</v>
      </c>
      <c r="P486" s="6"/>
      <c r="Q486" s="6">
        <v>1.0</v>
      </c>
      <c r="R486" s="6" t="s">
        <v>26</v>
      </c>
      <c r="S486" s="6" t="s">
        <v>27</v>
      </c>
      <c r="T486" s="6" t="s">
        <v>131</v>
      </c>
    </row>
    <row r="487">
      <c r="B487" s="6" t="s">
        <v>1149</v>
      </c>
      <c r="C487" s="7" t="str">
        <f t="shared" si="1"/>
        <v/>
      </c>
      <c r="D487" s="7" t="s">
        <v>20</v>
      </c>
      <c r="E487" s="7"/>
      <c r="F487" s="8" t="s">
        <v>1150</v>
      </c>
      <c r="G487" s="8" t="s">
        <v>1151</v>
      </c>
      <c r="H487" s="9" t="str">
        <f t="shared" si="127"/>
        <v>https://www.piratewires.com</v>
      </c>
      <c r="I487" s="9" t="str">
        <f>IFERROR(__xludf.DUMMYFUNCTION("IF(REGEXMATCH(H487,""www""),RIGHT(H487,LEN(H487)-FIND(""."",H487)+0),if(regexmatch(H487,""https://""),right(H487,len(H487)-find(""/"",H487)-1),H487))"),"piratewires.com")</f>
        <v>piratewires.com</v>
      </c>
      <c r="J487" s="9" t="str">
        <f t="shared" si="128"/>
        <v>piratewires.com</v>
      </c>
      <c r="K487" s="9" t="s">
        <v>23</v>
      </c>
      <c r="L487" s="6" t="s">
        <v>176</v>
      </c>
      <c r="M487" s="8" t="str">
        <f t="shared" si="129"/>
        <v>https://newsapi.org/v2/everything?domains=piratewires.com&amp;apiKey=7d4cb29b783f48c8a1837901e959f134</v>
      </c>
      <c r="N487" s="6">
        <v>0.0</v>
      </c>
      <c r="O487" s="6" t="s">
        <v>39</v>
      </c>
      <c r="P487" s="6"/>
      <c r="Q487" s="6">
        <v>1.0</v>
      </c>
      <c r="R487" s="6" t="s">
        <v>26</v>
      </c>
      <c r="S487" s="6" t="s">
        <v>27</v>
      </c>
      <c r="T487" s="6" t="s">
        <v>76</v>
      </c>
    </row>
    <row r="488">
      <c r="B488" s="6" t="s">
        <v>1152</v>
      </c>
      <c r="C488" s="7" t="str">
        <f t="shared" si="1"/>
        <v/>
      </c>
      <c r="D488" s="7" t="s">
        <v>50</v>
      </c>
      <c r="E488" s="7">
        <v>100.0</v>
      </c>
      <c r="F488" s="7"/>
      <c r="G488" s="8" t="s">
        <v>1153</v>
      </c>
      <c r="H488" s="9" t="str">
        <f t="shared" si="127"/>
        <v>https://pitchfork.com</v>
      </c>
      <c r="I488" s="9" t="str">
        <f>IFERROR(__xludf.DUMMYFUNCTION("IF(REGEXMATCH(H488,""www""),RIGHT(H488,LEN(H488)-FIND(""."",H488)+0),if(regexmatch(H488,""https://""),right(H488,len(H488)-find(""/"",H488)-1),H488))"),"pitchfork.com")</f>
        <v>pitchfork.com</v>
      </c>
      <c r="J488" s="9" t="str">
        <f t="shared" si="128"/>
        <v>pitchfork.com</v>
      </c>
      <c r="K488" s="9" t="s">
        <v>23</v>
      </c>
      <c r="L488" s="6" t="s">
        <v>24</v>
      </c>
      <c r="M488" s="8" t="str">
        <f t="shared" si="129"/>
        <v>https://newsapi.org/v2/everything?domains=pitchfork.com&amp;apiKey=ae2ad3e68d4e4daca149bbfb9b61c010</v>
      </c>
      <c r="N488" s="6">
        <v>1.0</v>
      </c>
      <c r="O488" s="6" t="s">
        <v>25</v>
      </c>
      <c r="P488" s="6"/>
      <c r="Q488" s="6">
        <v>1.0</v>
      </c>
      <c r="R488" s="6" t="s">
        <v>26</v>
      </c>
      <c r="S488" s="6" t="s">
        <v>27</v>
      </c>
      <c r="T488" s="6" t="s">
        <v>32</v>
      </c>
    </row>
    <row r="489">
      <c r="B489" s="6" t="s">
        <v>1154</v>
      </c>
      <c r="C489" s="7" t="str">
        <f t="shared" si="1"/>
        <v/>
      </c>
      <c r="D489" s="7" t="s">
        <v>20</v>
      </c>
      <c r="E489" s="1"/>
      <c r="F489" s="8" t="s">
        <v>1155</v>
      </c>
      <c r="G489" s="1"/>
      <c r="M489" s="1"/>
      <c r="N489" s="6">
        <v>0.0</v>
      </c>
      <c r="O489" s="6" t="s">
        <v>25</v>
      </c>
      <c r="P489" s="6"/>
      <c r="Q489" s="6">
        <v>1.0</v>
      </c>
      <c r="R489" s="6" t="s">
        <v>26</v>
      </c>
      <c r="S489" s="6" t="s">
        <v>27</v>
      </c>
      <c r="T489" s="6" t="s">
        <v>61</v>
      </c>
    </row>
    <row r="490">
      <c r="B490" s="6" t="s">
        <v>1156</v>
      </c>
      <c r="C490" s="7" t="str">
        <f t="shared" si="1"/>
        <v/>
      </c>
      <c r="D490" s="7" t="s">
        <v>20</v>
      </c>
      <c r="F490" s="8" t="s">
        <v>1157</v>
      </c>
      <c r="G490" s="8" t="s">
        <v>1158</v>
      </c>
      <c r="H490" s="9" t="str">
        <f>LEFT(G490, LEN(G490)-1)</f>
        <v>https://planetplanet.net</v>
      </c>
      <c r="I490" s="9" t="str">
        <f>IFERROR(__xludf.DUMMYFUNCTION("IF(REGEXMATCH(H490,""www""),RIGHT(H490,LEN(H490)-FIND(""."",H490)+0),if(regexmatch(H490,""https://""),right(H490,len(H490)-find(""/"",H490)-1),H490))"),"planetplanet.net")</f>
        <v>planetplanet.net</v>
      </c>
      <c r="J490" s="9" t="str">
        <f>I490</f>
        <v>planetplanet.net</v>
      </c>
      <c r="K490" s="9" t="s">
        <v>23</v>
      </c>
      <c r="L490" s="6" t="s">
        <v>176</v>
      </c>
      <c r="M490" s="8" t="str">
        <f>K490&amp;J490&amp;L490</f>
        <v>https://newsapi.org/v2/everything?domains=planetplanet.net&amp;apiKey=7d4cb29b783f48c8a1837901e959f134</v>
      </c>
      <c r="N490" s="6">
        <v>0.0</v>
      </c>
      <c r="O490" s="6" t="s">
        <v>39</v>
      </c>
      <c r="P490" s="6"/>
      <c r="Q490" s="6">
        <v>1.0</v>
      </c>
      <c r="R490" s="6" t="s">
        <v>26</v>
      </c>
      <c r="S490" s="6" t="s">
        <v>27</v>
      </c>
      <c r="T490" s="6" t="s">
        <v>64</v>
      </c>
    </row>
    <row r="491">
      <c r="B491" s="6" t="s">
        <v>1159</v>
      </c>
      <c r="C491" s="7" t="str">
        <f t="shared" si="1"/>
        <v>Plos</v>
      </c>
      <c r="D491" s="6" t="s">
        <v>20</v>
      </c>
      <c r="E491" s="12"/>
      <c r="F491" s="11" t="s">
        <v>1160</v>
      </c>
      <c r="G491" s="12"/>
      <c r="H491" s="10"/>
      <c r="I491" s="10"/>
      <c r="J491" s="10"/>
      <c r="K491" s="10"/>
      <c r="L491" s="6"/>
      <c r="M491" s="7"/>
      <c r="N491" s="6">
        <v>0.0</v>
      </c>
      <c r="O491" s="6" t="s">
        <v>25</v>
      </c>
      <c r="P491" s="6"/>
      <c r="Q491" s="6">
        <v>1.0</v>
      </c>
      <c r="R491" s="6" t="s">
        <v>26</v>
      </c>
      <c r="S491" s="6" t="s">
        <v>27</v>
      </c>
      <c r="T491" s="6" t="s">
        <v>101</v>
      </c>
    </row>
    <row r="492">
      <c r="B492" s="6" t="s">
        <v>1161</v>
      </c>
      <c r="C492" s="7" t="str">
        <f t="shared" si="1"/>
        <v>Plos</v>
      </c>
      <c r="D492" s="6" t="s">
        <v>20</v>
      </c>
      <c r="E492" s="12"/>
      <c r="F492" s="11" t="s">
        <v>1162</v>
      </c>
      <c r="G492" s="12"/>
      <c r="H492" s="10"/>
      <c r="I492" s="10"/>
      <c r="J492" s="10"/>
      <c r="K492" s="10"/>
      <c r="L492" s="6"/>
      <c r="M492" s="7"/>
      <c r="N492" s="6">
        <v>0.0</v>
      </c>
      <c r="O492" s="6" t="s">
        <v>25</v>
      </c>
      <c r="P492" s="6"/>
      <c r="Q492" s="6">
        <v>1.0</v>
      </c>
      <c r="R492" s="6" t="s">
        <v>26</v>
      </c>
      <c r="S492" s="6" t="s">
        <v>27</v>
      </c>
      <c r="T492" s="6" t="s">
        <v>85</v>
      </c>
    </row>
    <row r="493">
      <c r="B493" s="6" t="s">
        <v>1163</v>
      </c>
      <c r="C493" s="7" t="str">
        <f t="shared" si="1"/>
        <v>Plos</v>
      </c>
      <c r="D493" s="6" t="s">
        <v>20</v>
      </c>
      <c r="E493" s="12"/>
      <c r="F493" s="11" t="s">
        <v>1164</v>
      </c>
      <c r="G493" s="12"/>
      <c r="H493" s="10"/>
      <c r="I493" s="10"/>
      <c r="J493" s="10"/>
      <c r="K493" s="10"/>
      <c r="L493" s="6"/>
      <c r="M493" s="7"/>
      <c r="N493" s="6">
        <v>0.0</v>
      </c>
      <c r="O493" s="6" t="s">
        <v>25</v>
      </c>
      <c r="P493" s="6"/>
      <c r="Q493" s="6">
        <v>1.0</v>
      </c>
      <c r="R493" s="6" t="s">
        <v>26</v>
      </c>
      <c r="S493" s="6" t="s">
        <v>27</v>
      </c>
      <c r="T493" s="6" t="s">
        <v>101</v>
      </c>
    </row>
    <row r="494">
      <c r="B494" s="6" t="s">
        <v>1165</v>
      </c>
      <c r="C494" s="7" t="str">
        <f t="shared" si="1"/>
        <v>Plos</v>
      </c>
      <c r="D494" s="6" t="s">
        <v>20</v>
      </c>
      <c r="E494" s="12"/>
      <c r="F494" s="11" t="s">
        <v>1166</v>
      </c>
      <c r="G494" s="12"/>
      <c r="H494" s="10"/>
      <c r="I494" s="10"/>
      <c r="J494" s="10"/>
      <c r="K494" s="10"/>
      <c r="L494" s="6"/>
      <c r="M494" s="7"/>
      <c r="N494" s="6">
        <v>0.0</v>
      </c>
      <c r="O494" s="6" t="s">
        <v>25</v>
      </c>
      <c r="P494" s="6"/>
      <c r="Q494" s="6">
        <v>1.0</v>
      </c>
      <c r="R494" s="6" t="s">
        <v>26</v>
      </c>
      <c r="S494" s="6" t="s">
        <v>27</v>
      </c>
      <c r="T494" s="6" t="s">
        <v>101</v>
      </c>
    </row>
    <row r="495">
      <c r="B495" s="6" t="s">
        <v>1167</v>
      </c>
      <c r="C495" s="7" t="str">
        <f t="shared" si="1"/>
        <v>Plos</v>
      </c>
      <c r="D495" s="6" t="s">
        <v>20</v>
      </c>
      <c r="E495" s="12"/>
      <c r="F495" s="11" t="s">
        <v>1168</v>
      </c>
      <c r="G495" s="12"/>
      <c r="H495" s="10"/>
      <c r="I495" s="10"/>
      <c r="J495" s="10"/>
      <c r="K495" s="10"/>
      <c r="L495" s="6"/>
      <c r="M495" s="7"/>
      <c r="N495" s="6">
        <v>0.0</v>
      </c>
      <c r="O495" s="6" t="s">
        <v>25</v>
      </c>
      <c r="P495" s="6"/>
      <c r="Q495" s="6">
        <v>1.0</v>
      </c>
      <c r="R495" s="6" t="s">
        <v>26</v>
      </c>
      <c r="S495" s="6" t="s">
        <v>27</v>
      </c>
      <c r="T495" s="6" t="s">
        <v>101</v>
      </c>
    </row>
    <row r="496">
      <c r="B496" s="6" t="s">
        <v>1169</v>
      </c>
      <c r="C496" s="7" t="str">
        <f t="shared" si="1"/>
        <v>Plos</v>
      </c>
      <c r="D496" s="6" t="s">
        <v>20</v>
      </c>
      <c r="E496" s="12"/>
      <c r="F496" s="11" t="s">
        <v>1170</v>
      </c>
      <c r="G496" s="12"/>
      <c r="H496" s="10"/>
      <c r="I496" s="10"/>
      <c r="J496" s="10"/>
      <c r="K496" s="10"/>
      <c r="L496" s="6"/>
      <c r="M496" s="7"/>
      <c r="N496" s="6">
        <v>0.0</v>
      </c>
      <c r="O496" s="6" t="s">
        <v>25</v>
      </c>
      <c r="P496" s="6"/>
      <c r="Q496" s="6">
        <v>1.0</v>
      </c>
      <c r="R496" s="6" t="s">
        <v>26</v>
      </c>
      <c r="S496" s="6" t="s">
        <v>27</v>
      </c>
      <c r="T496" s="6" t="s">
        <v>101</v>
      </c>
    </row>
    <row r="497">
      <c r="B497" s="6" t="s">
        <v>1171</v>
      </c>
      <c r="C497" s="7" t="str">
        <f t="shared" si="1"/>
        <v>Plos</v>
      </c>
      <c r="D497" s="6" t="s">
        <v>20</v>
      </c>
      <c r="E497" s="12"/>
      <c r="F497" s="11" t="s">
        <v>1172</v>
      </c>
      <c r="G497" s="12"/>
      <c r="H497" s="10"/>
      <c r="I497" s="10"/>
      <c r="J497" s="10"/>
      <c r="K497" s="10"/>
      <c r="L497" s="6"/>
      <c r="M497" s="7"/>
      <c r="N497" s="6">
        <v>0.0</v>
      </c>
      <c r="O497" s="6" t="s">
        <v>25</v>
      </c>
      <c r="P497" s="6"/>
      <c r="Q497" s="6">
        <v>1.0</v>
      </c>
      <c r="R497" s="6" t="s">
        <v>26</v>
      </c>
      <c r="S497" s="6" t="s">
        <v>27</v>
      </c>
      <c r="T497" s="6" t="s">
        <v>101</v>
      </c>
    </row>
    <row r="498">
      <c r="B498" s="6" t="s">
        <v>1173</v>
      </c>
      <c r="C498" s="7" t="str">
        <f t="shared" si="1"/>
        <v>Plos</v>
      </c>
      <c r="D498" s="6" t="s">
        <v>20</v>
      </c>
      <c r="E498" s="12"/>
      <c r="F498" s="11" t="s">
        <v>1174</v>
      </c>
      <c r="G498" s="12"/>
      <c r="H498" s="10"/>
      <c r="I498" s="10"/>
      <c r="J498" s="10"/>
      <c r="K498" s="10"/>
      <c r="L498" s="6"/>
      <c r="M498" s="7"/>
      <c r="N498" s="6">
        <v>0.0</v>
      </c>
      <c r="O498" s="6" t="s">
        <v>25</v>
      </c>
      <c r="P498" s="6"/>
      <c r="Q498" s="6">
        <v>1.0</v>
      </c>
      <c r="R498" s="6" t="s">
        <v>26</v>
      </c>
      <c r="S498" s="6" t="s">
        <v>27</v>
      </c>
      <c r="T498" s="6" t="s">
        <v>101</v>
      </c>
    </row>
    <row r="499">
      <c r="B499" s="6" t="s">
        <v>1175</v>
      </c>
      <c r="C499" s="7" t="str">
        <f t="shared" si="1"/>
        <v>Plos</v>
      </c>
      <c r="D499" s="6" t="s">
        <v>20</v>
      </c>
      <c r="E499" s="12"/>
      <c r="F499" s="11" t="s">
        <v>1176</v>
      </c>
      <c r="G499" s="12"/>
      <c r="H499" s="10"/>
      <c r="I499" s="10"/>
      <c r="J499" s="10"/>
      <c r="K499" s="10"/>
      <c r="L499" s="6"/>
      <c r="M499" s="7"/>
      <c r="N499" s="6">
        <v>0.0</v>
      </c>
      <c r="O499" s="6" t="s">
        <v>25</v>
      </c>
      <c r="P499" s="6"/>
      <c r="Q499" s="6">
        <v>1.0</v>
      </c>
      <c r="R499" s="6" t="s">
        <v>26</v>
      </c>
      <c r="S499" s="6" t="s">
        <v>27</v>
      </c>
      <c r="T499" s="6" t="s">
        <v>73</v>
      </c>
    </row>
    <row r="500">
      <c r="B500" s="6" t="s">
        <v>1177</v>
      </c>
      <c r="C500" s="7" t="str">
        <f t="shared" si="1"/>
        <v>Plos</v>
      </c>
      <c r="D500" s="6" t="s">
        <v>20</v>
      </c>
      <c r="E500" s="12"/>
      <c r="F500" s="11" t="s">
        <v>1178</v>
      </c>
      <c r="G500" s="12"/>
      <c r="H500" s="10"/>
      <c r="I500" s="10"/>
      <c r="J500" s="10"/>
      <c r="K500" s="10"/>
      <c r="L500" s="6"/>
      <c r="M500" s="7"/>
      <c r="N500" s="6">
        <v>0.0</v>
      </c>
      <c r="O500" s="6" t="s">
        <v>25</v>
      </c>
      <c r="P500" s="6"/>
      <c r="Q500" s="6">
        <v>1.0</v>
      </c>
      <c r="R500" s="6" t="s">
        <v>26</v>
      </c>
      <c r="S500" s="6" t="s">
        <v>27</v>
      </c>
      <c r="T500" s="6" t="s">
        <v>101</v>
      </c>
    </row>
    <row r="501">
      <c r="B501" s="6" t="s">
        <v>1179</v>
      </c>
      <c r="C501" s="7" t="str">
        <f t="shared" si="1"/>
        <v>Plos</v>
      </c>
      <c r="D501" s="6" t="s">
        <v>20</v>
      </c>
      <c r="E501" s="12"/>
      <c r="F501" s="11" t="s">
        <v>1180</v>
      </c>
      <c r="G501" s="12"/>
      <c r="H501" s="10"/>
      <c r="I501" s="10"/>
      <c r="J501" s="10"/>
      <c r="K501" s="10"/>
      <c r="L501" s="6"/>
      <c r="M501" s="7"/>
      <c r="N501" s="6">
        <v>0.0</v>
      </c>
      <c r="O501" s="6" t="s">
        <v>25</v>
      </c>
      <c r="P501" s="6"/>
      <c r="Q501" s="6">
        <v>1.0</v>
      </c>
      <c r="R501" s="6" t="s">
        <v>26</v>
      </c>
      <c r="S501" s="6" t="s">
        <v>27</v>
      </c>
      <c r="T501" s="6" t="s">
        <v>85</v>
      </c>
    </row>
    <row r="502">
      <c r="B502" s="6" t="s">
        <v>1181</v>
      </c>
      <c r="C502" s="7" t="str">
        <f t="shared" si="1"/>
        <v>Plos</v>
      </c>
      <c r="D502" s="6" t="s">
        <v>20</v>
      </c>
      <c r="E502" s="12"/>
      <c r="F502" s="11" t="s">
        <v>1182</v>
      </c>
      <c r="G502" s="12"/>
      <c r="H502" s="10"/>
      <c r="I502" s="10"/>
      <c r="J502" s="10"/>
      <c r="K502" s="10"/>
      <c r="L502" s="6"/>
      <c r="M502" s="7"/>
      <c r="N502" s="6">
        <v>0.0</v>
      </c>
      <c r="O502" s="6" t="s">
        <v>25</v>
      </c>
      <c r="P502" s="6"/>
      <c r="Q502" s="6">
        <v>1.0</v>
      </c>
      <c r="R502" s="6" t="s">
        <v>26</v>
      </c>
      <c r="S502" s="6" t="s">
        <v>27</v>
      </c>
      <c r="T502" s="6" t="s">
        <v>85</v>
      </c>
    </row>
    <row r="503">
      <c r="B503" s="6" t="s">
        <v>1183</v>
      </c>
      <c r="C503" s="7" t="str">
        <f t="shared" si="1"/>
        <v/>
      </c>
      <c r="D503" s="7" t="s">
        <v>20</v>
      </c>
      <c r="E503" s="7"/>
      <c r="F503" s="8" t="s">
        <v>1184</v>
      </c>
      <c r="G503" s="8" t="s">
        <v>1185</v>
      </c>
      <c r="H503" s="9" t="str">
        <f>LEFT(G503, LEN(G503)-1)</f>
        <v>https://www.pnas.org</v>
      </c>
      <c r="I503" s="9" t="str">
        <f>IFERROR(__xludf.DUMMYFUNCTION("IF(REGEXMATCH(H503,""www""),RIGHT(H503,LEN(H503)-FIND(""."",H503)+0),if(regexmatch(H503,""https://""),right(H503,len(H503)-find(""/"",H503)-1),H503))"),"pnas.org")</f>
        <v>pnas.org</v>
      </c>
      <c r="J503" s="9" t="str">
        <f>I503</f>
        <v>pnas.org</v>
      </c>
      <c r="K503" s="9" t="s">
        <v>23</v>
      </c>
      <c r="L503" s="6" t="s">
        <v>176</v>
      </c>
      <c r="M503" s="8" t="str">
        <f>K503&amp;J503&amp;L503</f>
        <v>https://newsapi.org/v2/everything?domains=pnas.org&amp;apiKey=7d4cb29b783f48c8a1837901e959f134</v>
      </c>
      <c r="N503" s="6">
        <v>0.0</v>
      </c>
      <c r="O503" s="6" t="s">
        <v>25</v>
      </c>
      <c r="P503" s="6"/>
      <c r="Q503" s="6">
        <v>1.0</v>
      </c>
      <c r="R503" s="6" t="s">
        <v>26</v>
      </c>
      <c r="S503" s="6" t="s">
        <v>27</v>
      </c>
      <c r="T503" s="6" t="s">
        <v>131</v>
      </c>
    </row>
    <row r="504">
      <c r="B504" s="6" t="s">
        <v>1186</v>
      </c>
      <c r="C504" s="7" t="str">
        <f t="shared" si="1"/>
        <v/>
      </c>
      <c r="D504" s="16" t="s">
        <v>20</v>
      </c>
      <c r="E504" s="12"/>
      <c r="F504" s="11" t="s">
        <v>1187</v>
      </c>
      <c r="G504" s="7"/>
      <c r="M504" s="1"/>
      <c r="N504" s="6">
        <v>0.0</v>
      </c>
      <c r="O504" s="6" t="s">
        <v>43</v>
      </c>
      <c r="P504" s="6"/>
      <c r="Q504" s="6">
        <v>1.0</v>
      </c>
      <c r="R504" s="6" t="s">
        <v>26</v>
      </c>
      <c r="S504" s="6" t="s">
        <v>27</v>
      </c>
      <c r="T504" s="6" t="s">
        <v>107</v>
      </c>
    </row>
    <row r="505">
      <c r="B505" s="6" t="s">
        <v>1188</v>
      </c>
      <c r="C505" s="7" t="str">
        <f t="shared" si="1"/>
        <v/>
      </c>
      <c r="D505" s="7" t="s">
        <v>50</v>
      </c>
      <c r="E505" s="7">
        <v>26.0</v>
      </c>
      <c r="F505" s="7"/>
      <c r="G505" s="8" t="s">
        <v>1189</v>
      </c>
      <c r="H505" s="9" t="str">
        <f>LEFT(G505, LEN(G505)-1)</f>
        <v>https://www.popularmechanics.com</v>
      </c>
      <c r="I505" s="9" t="str">
        <f>IFERROR(__xludf.DUMMYFUNCTION("IF(REGEXMATCH(H505,""www""),RIGHT(H505,LEN(H505)-FIND(""."",H505)+0),if(regexmatch(H505,""https://""),right(H505,len(H505)-find(""/"",H505)-1),H505))"),"popularmechanics.com")</f>
        <v>popularmechanics.com</v>
      </c>
      <c r="J505" s="9" t="str">
        <f>I505</f>
        <v>popularmechanics.com</v>
      </c>
      <c r="K505" s="9" t="s">
        <v>23</v>
      </c>
      <c r="L505" s="6" t="s">
        <v>176</v>
      </c>
      <c r="M505" s="8" t="str">
        <f>K505&amp;J505&amp;L505</f>
        <v>https://newsapi.org/v2/everything?domains=popularmechanics.com&amp;apiKey=7d4cb29b783f48c8a1837901e959f134</v>
      </c>
      <c r="N505" s="6">
        <v>1.0</v>
      </c>
      <c r="O505" s="6" t="s">
        <v>25</v>
      </c>
      <c r="P505" s="6"/>
      <c r="Q505" s="6">
        <v>1.0</v>
      </c>
      <c r="R505" s="6" t="s">
        <v>26</v>
      </c>
      <c r="S505" s="6" t="s">
        <v>27</v>
      </c>
      <c r="T505" s="6" t="s">
        <v>131</v>
      </c>
    </row>
    <row r="506">
      <c r="B506" s="6" t="s">
        <v>1190</v>
      </c>
      <c r="C506" s="7" t="str">
        <f t="shared" si="1"/>
        <v>Popular Science</v>
      </c>
      <c r="D506" s="7" t="s">
        <v>30</v>
      </c>
      <c r="E506" s="7"/>
      <c r="F506" s="8" t="s">
        <v>1191</v>
      </c>
      <c r="G506" s="7"/>
      <c r="H506" s="10"/>
      <c r="I506" s="10"/>
      <c r="J506" s="10"/>
      <c r="K506" s="10"/>
      <c r="L506" s="6"/>
      <c r="M506" s="7"/>
      <c r="N506" s="6">
        <v>1.0</v>
      </c>
      <c r="O506" s="6" t="s">
        <v>25</v>
      </c>
      <c r="P506" s="6"/>
      <c r="Q506" s="6"/>
      <c r="R506" s="6"/>
      <c r="S506" s="6"/>
      <c r="T506" s="6" t="s">
        <v>73</v>
      </c>
    </row>
    <row r="507">
      <c r="B507" s="6" t="s">
        <v>1192</v>
      </c>
      <c r="C507" s="7" t="str">
        <f t="shared" si="1"/>
        <v>Popular Science</v>
      </c>
      <c r="D507" s="7" t="s">
        <v>30</v>
      </c>
      <c r="E507" s="7"/>
      <c r="F507" s="8" t="s">
        <v>1193</v>
      </c>
      <c r="G507" s="7"/>
      <c r="H507" s="10"/>
      <c r="I507" s="10"/>
      <c r="J507" s="10"/>
      <c r="K507" s="10"/>
      <c r="L507" s="6"/>
      <c r="M507" s="7"/>
      <c r="N507" s="6">
        <v>1.0</v>
      </c>
      <c r="O507" s="6" t="s">
        <v>25</v>
      </c>
      <c r="P507" s="6"/>
      <c r="Q507" s="6"/>
      <c r="R507" s="6"/>
      <c r="S507" s="6"/>
      <c r="T507" s="6" t="s">
        <v>374</v>
      </c>
    </row>
    <row r="508">
      <c r="B508" s="6" t="s">
        <v>1194</v>
      </c>
      <c r="C508" s="7" t="str">
        <f t="shared" si="1"/>
        <v>Popular Science</v>
      </c>
      <c r="D508" s="7" t="s">
        <v>30</v>
      </c>
      <c r="E508" s="7"/>
      <c r="F508" s="8" t="s">
        <v>1195</v>
      </c>
      <c r="G508" s="7"/>
      <c r="H508" s="10"/>
      <c r="I508" s="10"/>
      <c r="J508" s="10"/>
      <c r="K508" s="10"/>
      <c r="L508" s="6"/>
      <c r="M508" s="7"/>
      <c r="N508" s="6">
        <v>1.0</v>
      </c>
      <c r="O508" s="6" t="s">
        <v>25</v>
      </c>
      <c r="P508" s="6"/>
      <c r="Q508" s="6"/>
      <c r="R508" s="6"/>
      <c r="S508" s="6"/>
      <c r="T508" s="6" t="s">
        <v>85</v>
      </c>
    </row>
    <row r="509">
      <c r="B509" s="6" t="s">
        <v>1196</v>
      </c>
      <c r="C509" s="7" t="str">
        <f t="shared" si="1"/>
        <v>Popular Science</v>
      </c>
      <c r="D509" s="7" t="s">
        <v>30</v>
      </c>
      <c r="E509" s="7"/>
      <c r="F509" s="8" t="s">
        <v>1197</v>
      </c>
      <c r="G509" s="7"/>
      <c r="H509" s="10"/>
      <c r="I509" s="10"/>
      <c r="J509" s="10"/>
      <c r="K509" s="10"/>
      <c r="L509" s="6"/>
      <c r="M509" s="7"/>
      <c r="N509" s="6">
        <v>1.0</v>
      </c>
      <c r="O509" s="6" t="s">
        <v>25</v>
      </c>
      <c r="P509" s="6"/>
      <c r="Q509" s="6"/>
      <c r="R509" s="6"/>
      <c r="S509" s="6"/>
      <c r="T509" s="6" t="s">
        <v>76</v>
      </c>
    </row>
    <row r="510">
      <c r="B510" s="6" t="s">
        <v>1198</v>
      </c>
      <c r="C510" s="7" t="str">
        <f t="shared" si="1"/>
        <v>Popular Science</v>
      </c>
      <c r="D510" s="7" t="s">
        <v>30</v>
      </c>
      <c r="E510" s="7"/>
      <c r="F510" s="8" t="s">
        <v>1199</v>
      </c>
      <c r="G510" s="7"/>
      <c r="H510" s="10"/>
      <c r="I510" s="10"/>
      <c r="J510" s="10"/>
      <c r="K510" s="10"/>
      <c r="L510" s="6"/>
      <c r="M510" s="7"/>
      <c r="N510" s="6">
        <v>1.0</v>
      </c>
      <c r="O510" s="6" t="s">
        <v>25</v>
      </c>
      <c r="P510" s="6"/>
      <c r="Q510" s="6"/>
      <c r="R510" s="6"/>
      <c r="S510" s="6"/>
      <c r="T510" s="6" t="s">
        <v>101</v>
      </c>
    </row>
    <row r="511">
      <c r="B511" s="6" t="s">
        <v>1200</v>
      </c>
      <c r="C511" s="7" t="str">
        <f t="shared" si="1"/>
        <v>Popular Science</v>
      </c>
      <c r="D511" s="7" t="s">
        <v>30</v>
      </c>
      <c r="E511" s="7"/>
      <c r="F511" s="8" t="s">
        <v>1201</v>
      </c>
      <c r="G511" s="7"/>
      <c r="H511" s="10"/>
      <c r="I511" s="10"/>
      <c r="J511" s="10"/>
      <c r="K511" s="10"/>
      <c r="L511" s="6"/>
      <c r="M511" s="7"/>
      <c r="N511" s="6">
        <v>1.0</v>
      </c>
      <c r="O511" s="6" t="s">
        <v>25</v>
      </c>
      <c r="P511" s="6"/>
      <c r="Q511" s="6"/>
      <c r="R511" s="6"/>
      <c r="S511" s="6"/>
      <c r="T511" s="6" t="s">
        <v>131</v>
      </c>
    </row>
    <row r="512">
      <c r="B512" s="6" t="s">
        <v>1202</v>
      </c>
      <c r="C512" s="7" t="str">
        <f t="shared" si="1"/>
        <v>Popular Science</v>
      </c>
      <c r="D512" s="7" t="s">
        <v>30</v>
      </c>
      <c r="E512" s="7"/>
      <c r="F512" s="8" t="s">
        <v>1203</v>
      </c>
      <c r="G512" s="7"/>
      <c r="H512" s="10"/>
      <c r="I512" s="10"/>
      <c r="J512" s="10"/>
      <c r="K512" s="10"/>
      <c r="L512" s="6"/>
      <c r="M512" s="7"/>
      <c r="N512" s="6">
        <v>1.0</v>
      </c>
      <c r="O512" s="6" t="s">
        <v>25</v>
      </c>
      <c r="P512" s="6"/>
      <c r="Q512" s="6"/>
      <c r="R512" s="6"/>
      <c r="S512" s="6"/>
      <c r="T512" s="6" t="s">
        <v>64</v>
      </c>
    </row>
    <row r="513">
      <c r="B513" s="6" t="s">
        <v>1204</v>
      </c>
      <c r="C513" s="7" t="str">
        <f t="shared" si="1"/>
        <v>Popular Science</v>
      </c>
      <c r="D513" s="7" t="s">
        <v>30</v>
      </c>
      <c r="E513" s="7"/>
      <c r="F513" s="8" t="s">
        <v>1205</v>
      </c>
      <c r="G513" s="8" t="s">
        <v>1206</v>
      </c>
      <c r="H513" s="9" t="str">
        <f>LEFT(G513, LEN(G513)-1)</f>
        <v>https://www.popsci.com</v>
      </c>
      <c r="I513" s="9" t="str">
        <f>IFERROR(__xludf.DUMMYFUNCTION("IF(REGEXMATCH(H513,""www""),RIGHT(H513,LEN(H513)-FIND(""."",H513)+0),if(regexmatch(H513,""https://""),right(H513,len(H513)-find(""/"",H513)-1),H513))"),"popsci.com")</f>
        <v>popsci.com</v>
      </c>
      <c r="J513" s="9" t="str">
        <f>I513</f>
        <v>popsci.com</v>
      </c>
      <c r="K513" s="9" t="s">
        <v>23</v>
      </c>
      <c r="L513" s="6" t="s">
        <v>24</v>
      </c>
      <c r="M513" s="8" t="str">
        <f>K513&amp;J513&amp;L513</f>
        <v>https://newsapi.org/v2/everything?domains=popsci.com&amp;apiKey=ae2ad3e68d4e4daca149bbfb9b61c010</v>
      </c>
      <c r="N513" s="6">
        <v>0.0</v>
      </c>
      <c r="O513" s="6" t="s">
        <v>25</v>
      </c>
      <c r="P513" s="6"/>
      <c r="Q513" s="6">
        <v>1.0</v>
      </c>
      <c r="R513" s="6" t="s">
        <v>26</v>
      </c>
      <c r="S513" s="6" t="s">
        <v>27</v>
      </c>
      <c r="T513" s="6" t="s">
        <v>76</v>
      </c>
    </row>
    <row r="514">
      <c r="B514" s="6" t="s">
        <v>1204</v>
      </c>
      <c r="C514" s="7" t="str">
        <f t="shared" si="1"/>
        <v>Popular Science</v>
      </c>
      <c r="D514" s="7" t="s">
        <v>30</v>
      </c>
      <c r="E514" s="7"/>
      <c r="F514" s="8" t="s">
        <v>1205</v>
      </c>
      <c r="G514" s="7"/>
      <c r="H514" s="10"/>
      <c r="I514" s="10"/>
      <c r="J514" s="10"/>
      <c r="K514" s="10"/>
      <c r="L514" s="6"/>
      <c r="M514" s="7"/>
      <c r="N514" s="6">
        <v>1.0</v>
      </c>
      <c r="O514" s="6" t="s">
        <v>25</v>
      </c>
      <c r="P514" s="6"/>
      <c r="Q514" s="6"/>
      <c r="R514" s="6"/>
      <c r="S514" s="6"/>
      <c r="T514" s="6" t="s">
        <v>76</v>
      </c>
    </row>
    <row r="515">
      <c r="B515" s="6" t="s">
        <v>1207</v>
      </c>
      <c r="C515" s="7" t="str">
        <f t="shared" si="1"/>
        <v/>
      </c>
      <c r="D515" s="7" t="s">
        <v>50</v>
      </c>
      <c r="E515" s="7"/>
      <c r="F515" s="7"/>
      <c r="G515" s="8" t="s">
        <v>1208</v>
      </c>
      <c r="H515" s="9" t="str">
        <f t="shared" ref="H515:H516" si="130">LEFT(G515, LEN(G515)-1)</f>
        <v>https://www.prnewswire.com</v>
      </c>
      <c r="I515" s="9" t="str">
        <f>IFERROR(__xludf.DUMMYFUNCTION("IF(REGEXMATCH(H515,""www""),RIGHT(H515,LEN(H515)-FIND(""."",H515)+0),if(regexmatch(H515,""https://""),right(H515,len(H515)-find(""/"",H515)-1),H515))"),"prnewswire.com")</f>
        <v>prnewswire.com</v>
      </c>
      <c r="J515" s="9" t="str">
        <f t="shared" ref="J515:J516" si="131">I515</f>
        <v>prnewswire.com</v>
      </c>
      <c r="K515" s="9" t="s">
        <v>23</v>
      </c>
      <c r="L515" s="6" t="s">
        <v>176</v>
      </c>
      <c r="M515" s="8" t="str">
        <f t="shared" ref="M515:M516" si="132">K515&amp;J515&amp;L515</f>
        <v>https://newsapi.org/v2/everything?domains=prnewswire.com&amp;apiKey=7d4cb29b783f48c8a1837901e959f134</v>
      </c>
      <c r="N515" s="6">
        <v>1.0</v>
      </c>
      <c r="O515" s="6" t="s">
        <v>25</v>
      </c>
      <c r="P515" s="6"/>
      <c r="Q515" s="6">
        <v>1.0</v>
      </c>
      <c r="R515" s="6" t="s">
        <v>26</v>
      </c>
      <c r="S515" s="6" t="s">
        <v>27</v>
      </c>
      <c r="T515" s="6" t="s">
        <v>48</v>
      </c>
    </row>
    <row r="516">
      <c r="B516" s="6" t="s">
        <v>1209</v>
      </c>
      <c r="C516" s="7" t="str">
        <f t="shared" si="1"/>
        <v/>
      </c>
      <c r="D516" s="12" t="s">
        <v>50</v>
      </c>
      <c r="E516" s="7"/>
      <c r="F516" s="7"/>
      <c r="G516" s="8" t="s">
        <v>1210</v>
      </c>
      <c r="H516" s="9" t="str">
        <f t="shared" si="130"/>
        <v>https://www.prweb.com</v>
      </c>
      <c r="I516" s="9" t="str">
        <f>IFERROR(__xludf.DUMMYFUNCTION("IF(REGEXMATCH(H516,""www""),RIGHT(H516,LEN(H516)-FIND(""."",H516)+0),if(regexmatch(H516,""https://""),right(H516,len(H516)-find(""/"",H516)-1),H516))"),"prweb.com")</f>
        <v>prweb.com</v>
      </c>
      <c r="J516" s="9" t="str">
        <f t="shared" si="131"/>
        <v>prweb.com</v>
      </c>
      <c r="K516" s="9" t="s">
        <v>23</v>
      </c>
      <c r="L516" s="6" t="s">
        <v>24</v>
      </c>
      <c r="M516" s="8" t="str">
        <f t="shared" si="132"/>
        <v>https://newsapi.org/v2/everything?domains=prweb.com&amp;apiKey=ae2ad3e68d4e4daca149bbfb9b61c010</v>
      </c>
      <c r="N516" s="6">
        <v>1.0</v>
      </c>
      <c r="O516" s="6" t="s">
        <v>25</v>
      </c>
      <c r="P516" s="6"/>
      <c r="Q516" s="6">
        <v>1.0</v>
      </c>
      <c r="R516" s="6" t="s">
        <v>26</v>
      </c>
      <c r="S516" s="6" t="s">
        <v>27</v>
      </c>
      <c r="T516" s="6" t="s">
        <v>48</v>
      </c>
    </row>
    <row r="517">
      <c r="B517" s="6" t="s">
        <v>1211</v>
      </c>
      <c r="C517" s="7" t="str">
        <f t="shared" si="1"/>
        <v/>
      </c>
      <c r="D517" s="7" t="s">
        <v>20</v>
      </c>
      <c r="E517" s="1"/>
      <c r="F517" s="11" t="s">
        <v>1212</v>
      </c>
      <c r="G517" s="1"/>
      <c r="M517" s="1"/>
      <c r="N517" s="6">
        <v>0.0</v>
      </c>
      <c r="O517" s="6" t="s">
        <v>43</v>
      </c>
      <c r="P517" s="6"/>
      <c r="Q517" s="6">
        <v>1.0</v>
      </c>
      <c r="R517" s="6" t="s">
        <v>26</v>
      </c>
      <c r="S517" s="6" t="s">
        <v>27</v>
      </c>
      <c r="T517" s="6" t="s">
        <v>187</v>
      </c>
    </row>
    <row r="518">
      <c r="B518" s="6" t="s">
        <v>1213</v>
      </c>
      <c r="C518" s="7" t="str">
        <f t="shared" si="1"/>
        <v/>
      </c>
      <c r="D518" s="7" t="s">
        <v>50</v>
      </c>
      <c r="E518" s="7">
        <v>100.0</v>
      </c>
      <c r="F518" s="7"/>
      <c r="G518" s="8" t="s">
        <v>1214</v>
      </c>
      <c r="H518" s="9" t="str">
        <f t="shared" ref="H518:H530" si="133">LEFT(G518, LEN(G518)-1)</f>
        <v>https://www.printmag.com</v>
      </c>
      <c r="I518" s="9" t="str">
        <f>IFERROR(__xludf.DUMMYFUNCTION("IF(REGEXMATCH(H518,""www""),RIGHT(H518,LEN(H518)-FIND(""."",H518)+0),if(regexmatch(H518,""https://""),right(H518,len(H518)-find(""/"",H518)-1),H518))"),"printmag.com")</f>
        <v>printmag.com</v>
      </c>
      <c r="J518" s="9" t="str">
        <f t="shared" ref="J518:J530" si="134">I518</f>
        <v>printmag.com</v>
      </c>
      <c r="K518" s="9" t="s">
        <v>23</v>
      </c>
      <c r="L518" s="6" t="s">
        <v>24</v>
      </c>
      <c r="M518" s="8" t="str">
        <f t="shared" ref="M518:M530" si="135">K518&amp;J518&amp;L518</f>
        <v>https://newsapi.org/v2/everything?domains=printmag.com&amp;apiKey=ae2ad3e68d4e4daca149bbfb9b61c010</v>
      </c>
      <c r="N518" s="6">
        <v>1.0</v>
      </c>
      <c r="O518" s="6" t="s">
        <v>25</v>
      </c>
      <c r="P518" s="6"/>
      <c r="Q518" s="6">
        <v>1.0</v>
      </c>
      <c r="R518" s="6" t="s">
        <v>26</v>
      </c>
      <c r="S518" s="6" t="s">
        <v>27</v>
      </c>
      <c r="T518" s="6" t="s">
        <v>52</v>
      </c>
    </row>
    <row r="519">
      <c r="B519" s="6" t="s">
        <v>1215</v>
      </c>
      <c r="C519" s="7" t="str">
        <f t="shared" si="1"/>
        <v/>
      </c>
      <c r="D519" s="7" t="s">
        <v>50</v>
      </c>
      <c r="E519" s="7">
        <v>41.0</v>
      </c>
      <c r="F519" s="7"/>
      <c r="G519" s="8" t="s">
        <v>1216</v>
      </c>
      <c r="H519" s="9" t="str">
        <f t="shared" si="133"/>
        <v>https://www.propublica.org</v>
      </c>
      <c r="I519" s="9" t="str">
        <f>IFERROR(__xludf.DUMMYFUNCTION("IF(REGEXMATCH(H519,""www""),RIGHT(H519,LEN(H519)-FIND(""."",H519)+0),if(regexmatch(H519,""https://""),right(H519,len(H519)-find(""/"",H519)-1),H519))"),"propublica.org")</f>
        <v>propublica.org</v>
      </c>
      <c r="J519" s="9" t="str">
        <f t="shared" si="134"/>
        <v>propublica.org</v>
      </c>
      <c r="K519" s="9" t="s">
        <v>23</v>
      </c>
      <c r="L519" s="6" t="s">
        <v>176</v>
      </c>
      <c r="M519" s="8" t="str">
        <f t="shared" si="135"/>
        <v>https://newsapi.org/v2/everything?domains=propublica.org&amp;apiKey=7d4cb29b783f48c8a1837901e959f134</v>
      </c>
      <c r="N519" s="6">
        <v>1.0</v>
      </c>
      <c r="O519" s="6" t="s">
        <v>25</v>
      </c>
      <c r="P519" s="6"/>
      <c r="Q519" s="6">
        <v>1.0</v>
      </c>
      <c r="R519" s="6" t="s">
        <v>26</v>
      </c>
      <c r="S519" s="6" t="s">
        <v>27</v>
      </c>
      <c r="T519" s="6" t="s">
        <v>56</v>
      </c>
    </row>
    <row r="520">
      <c r="B520" s="6" t="s">
        <v>1217</v>
      </c>
      <c r="C520" s="7" t="str">
        <f t="shared" si="1"/>
        <v/>
      </c>
      <c r="D520" s="7" t="s">
        <v>50</v>
      </c>
      <c r="E520" s="7">
        <v>4.0</v>
      </c>
      <c r="F520" s="7"/>
      <c r="G520" s="8" t="s">
        <v>1218</v>
      </c>
      <c r="H520" s="9" t="str">
        <f t="shared" si="133"/>
        <v>https://psyche.co</v>
      </c>
      <c r="I520" s="9" t="str">
        <f>IFERROR(__xludf.DUMMYFUNCTION("IF(REGEXMATCH(H520,""www""),RIGHT(H520,LEN(H520)-FIND(""."",H520)+0),if(regexmatch(H520,""https://""),right(H520,len(H520)-find(""/"",H520)-1),H520))"),"psyche.co")</f>
        <v>psyche.co</v>
      </c>
      <c r="J520" s="9" t="str">
        <f t="shared" si="134"/>
        <v>psyche.co</v>
      </c>
      <c r="K520" s="9" t="s">
        <v>23</v>
      </c>
      <c r="L520" s="6" t="s">
        <v>176</v>
      </c>
      <c r="M520" s="8" t="str">
        <f t="shared" si="135"/>
        <v>https://newsapi.org/v2/everything?domains=psyche.co&amp;apiKey=7d4cb29b783f48c8a1837901e959f134</v>
      </c>
      <c r="N520" s="6">
        <v>0.0</v>
      </c>
      <c r="O520" s="6" t="s">
        <v>25</v>
      </c>
      <c r="P520" s="6"/>
      <c r="Q520" s="6">
        <v>1.0</v>
      </c>
      <c r="R520" s="6" t="s">
        <v>26</v>
      </c>
      <c r="S520" s="6" t="s">
        <v>27</v>
      </c>
      <c r="T520" s="6" t="s">
        <v>223</v>
      </c>
    </row>
    <row r="521">
      <c r="B521" s="6" t="s">
        <v>1219</v>
      </c>
      <c r="C521" s="7" t="str">
        <f t="shared" si="1"/>
        <v/>
      </c>
      <c r="D521" s="7" t="s">
        <v>30</v>
      </c>
      <c r="E521" s="12"/>
      <c r="F521" s="11" t="s">
        <v>1220</v>
      </c>
      <c r="G521" s="11" t="s">
        <v>1221</v>
      </c>
      <c r="H521" s="9" t="str">
        <f t="shared" si="133"/>
        <v>https://psychedelicreview.com</v>
      </c>
      <c r="I521" s="9" t="str">
        <f>IFERROR(__xludf.DUMMYFUNCTION("IF(REGEXMATCH(H521,""www""),RIGHT(H521,LEN(H521)-FIND(""."",H521)+0),if(regexmatch(H521,""https://""),right(H521,len(H521)-find(""/"",H521)-1),H521))"),"psychedelicreview.com")</f>
        <v>psychedelicreview.com</v>
      </c>
      <c r="J521" s="9" t="str">
        <f t="shared" si="134"/>
        <v>psychedelicreview.com</v>
      </c>
      <c r="K521" s="9" t="s">
        <v>23</v>
      </c>
      <c r="L521" s="6" t="s">
        <v>176</v>
      </c>
      <c r="M521" s="8" t="str">
        <f t="shared" si="135"/>
        <v>https://newsapi.org/v2/everything?domains=psychedelicreview.com&amp;apiKey=7d4cb29b783f48c8a1837901e959f134</v>
      </c>
      <c r="N521" s="6">
        <v>0.0</v>
      </c>
      <c r="O521" s="6" t="s">
        <v>25</v>
      </c>
      <c r="P521" s="6"/>
      <c r="Q521" s="6">
        <v>1.0</v>
      </c>
      <c r="R521" s="6" t="s">
        <v>26</v>
      </c>
      <c r="S521" s="6" t="s">
        <v>27</v>
      </c>
      <c r="T521" s="6" t="s">
        <v>101</v>
      </c>
    </row>
    <row r="522">
      <c r="B522" s="6" t="s">
        <v>1222</v>
      </c>
      <c r="C522" s="7" t="str">
        <f t="shared" si="1"/>
        <v/>
      </c>
      <c r="D522" s="7" t="s">
        <v>20</v>
      </c>
      <c r="E522" s="7"/>
      <c r="F522" s="8" t="s">
        <v>1223</v>
      </c>
      <c r="G522" s="8" t="s">
        <v>1224</v>
      </c>
      <c r="H522" s="9" t="str">
        <f t="shared" si="133"/>
        <v>http://psychsciencenotes.blogspot.com</v>
      </c>
      <c r="I522" s="9" t="str">
        <f>IFERROR(__xludf.DUMMYFUNCTION("IF(REGEXMATCH(H522,""www""),RIGHT(H522,LEN(H522)-FIND(""."",H522)+0),if(regexmatch(H522,""https://""),right(H522,len(H522)-find(""/"",H522)-1),H522))"),"http://psychsciencenotes.blogspot.com")</f>
        <v>http://psychsciencenotes.blogspot.com</v>
      </c>
      <c r="J522" s="9" t="str">
        <f t="shared" si="134"/>
        <v>http://psychsciencenotes.blogspot.com</v>
      </c>
      <c r="K522" s="9" t="s">
        <v>23</v>
      </c>
      <c r="L522" s="6" t="s">
        <v>176</v>
      </c>
      <c r="M522" s="8" t="str">
        <f t="shared" si="135"/>
        <v>https://newsapi.org/v2/everything?domains=http://psychsciencenotes.blogspot.com&amp;apiKey=7d4cb29b783f48c8a1837901e959f134</v>
      </c>
      <c r="N522" s="6">
        <v>0.0</v>
      </c>
      <c r="O522" s="6" t="s">
        <v>39</v>
      </c>
      <c r="P522" s="6"/>
      <c r="Q522" s="6">
        <v>1.0</v>
      </c>
      <c r="R522" s="6" t="s">
        <v>26</v>
      </c>
      <c r="S522" s="6" t="s">
        <v>27</v>
      </c>
      <c r="T522" s="6" t="s">
        <v>128</v>
      </c>
    </row>
    <row r="523">
      <c r="B523" s="6" t="s">
        <v>1225</v>
      </c>
      <c r="C523" s="7" t="str">
        <f t="shared" si="1"/>
        <v/>
      </c>
      <c r="D523" s="7" t="s">
        <v>20</v>
      </c>
      <c r="E523" s="7"/>
      <c r="F523" s="8" t="s">
        <v>1226</v>
      </c>
      <c r="G523" s="8" t="s">
        <v>1227</v>
      </c>
      <c r="H523" s="9" t="str">
        <f t="shared" si="133"/>
        <v>https://publicdomainreview.org</v>
      </c>
      <c r="I523" s="9" t="str">
        <f>IFERROR(__xludf.DUMMYFUNCTION("IF(REGEXMATCH(H523,""www""),RIGHT(H523,LEN(H523)-FIND(""."",H523)+0),if(regexmatch(H523,""https://""),right(H523,len(H523)-find(""/"",H523)-1),H523))"),"publicdomainreview.org")</f>
        <v>publicdomainreview.org</v>
      </c>
      <c r="J523" s="9" t="str">
        <f t="shared" si="134"/>
        <v>publicdomainreview.org</v>
      </c>
      <c r="K523" s="9" t="s">
        <v>23</v>
      </c>
      <c r="L523" s="6" t="s">
        <v>176</v>
      </c>
      <c r="M523" s="8" t="str">
        <f t="shared" si="135"/>
        <v>https://newsapi.org/v2/everything?domains=publicdomainreview.org&amp;apiKey=7d4cb29b783f48c8a1837901e959f134</v>
      </c>
      <c r="N523" s="6">
        <v>0.0</v>
      </c>
      <c r="O523" s="6" t="s">
        <v>25</v>
      </c>
      <c r="P523" s="6"/>
      <c r="Q523" s="6">
        <v>1.0</v>
      </c>
      <c r="R523" s="6" t="s">
        <v>26</v>
      </c>
      <c r="S523" s="6" t="s">
        <v>27</v>
      </c>
      <c r="T523" s="6" t="s">
        <v>67</v>
      </c>
    </row>
    <row r="524">
      <c r="B524" s="6" t="s">
        <v>1228</v>
      </c>
      <c r="C524" s="7" t="str">
        <f t="shared" si="1"/>
        <v/>
      </c>
      <c r="D524" s="7" t="s">
        <v>50</v>
      </c>
      <c r="E524" s="7">
        <v>21.0</v>
      </c>
      <c r="F524" s="7"/>
      <c r="G524" s="8" t="s">
        <v>1229</v>
      </c>
      <c r="H524" s="9" t="str">
        <f t="shared" si="133"/>
        <v>https://www.quantamagazine.org</v>
      </c>
      <c r="I524" s="9" t="str">
        <f>IFERROR(__xludf.DUMMYFUNCTION("IF(REGEXMATCH(H524,""www""),RIGHT(H524,LEN(H524)-FIND(""."",H524)+0),if(regexmatch(H524,""https://""),right(H524,len(H524)-find(""/"",H524)-1),H524))"),"quantamagazine.org")</f>
        <v>quantamagazine.org</v>
      </c>
      <c r="J524" s="9" t="str">
        <f t="shared" si="134"/>
        <v>quantamagazine.org</v>
      </c>
      <c r="K524" s="9" t="s">
        <v>23</v>
      </c>
      <c r="L524" s="6" t="s">
        <v>24</v>
      </c>
      <c r="M524" s="8" t="str">
        <f t="shared" si="135"/>
        <v>https://newsapi.org/v2/everything?domains=quantamagazine.org&amp;apiKey=ae2ad3e68d4e4daca149bbfb9b61c010</v>
      </c>
      <c r="N524" s="6">
        <v>1.0</v>
      </c>
      <c r="O524" s="6" t="s">
        <v>25</v>
      </c>
      <c r="P524" s="6"/>
      <c r="Q524" s="6">
        <v>1.0</v>
      </c>
      <c r="R524" s="6" t="s">
        <v>26</v>
      </c>
      <c r="S524" s="6" t="s">
        <v>27</v>
      </c>
      <c r="T524" s="6" t="s">
        <v>131</v>
      </c>
    </row>
    <row r="525">
      <c r="B525" s="6" t="s">
        <v>1230</v>
      </c>
      <c r="C525" s="7" t="str">
        <f t="shared" si="1"/>
        <v/>
      </c>
      <c r="D525" s="7" t="s">
        <v>20</v>
      </c>
      <c r="E525" s="7"/>
      <c r="F525" s="8" t="s">
        <v>1231</v>
      </c>
      <c r="G525" s="8" t="s">
        <v>1232</v>
      </c>
      <c r="H525" s="9" t="str">
        <f t="shared" si="133"/>
        <v>https://www.blog.radiator.debacle.us</v>
      </c>
      <c r="I525" s="9" t="str">
        <f>IFERROR(__xludf.DUMMYFUNCTION("IF(REGEXMATCH(H525,""www""),RIGHT(H525,LEN(H525)-FIND(""."",H525)+0),if(regexmatch(H525,""https://""),right(H525,len(H525)-find(""/"",H525)-1),H525))"),"blog.radiator.debacle.us")</f>
        <v>blog.radiator.debacle.us</v>
      </c>
      <c r="J525" s="9" t="str">
        <f t="shared" si="134"/>
        <v>blog.radiator.debacle.us</v>
      </c>
      <c r="K525" s="9" t="s">
        <v>23</v>
      </c>
      <c r="L525" s="6" t="s">
        <v>176</v>
      </c>
      <c r="M525" s="8" t="str">
        <f t="shared" si="135"/>
        <v>https://newsapi.org/v2/everything?domains=blog.radiator.debacle.us&amp;apiKey=7d4cb29b783f48c8a1837901e959f134</v>
      </c>
      <c r="N525" s="6">
        <v>0.0</v>
      </c>
      <c r="O525" s="6" t="s">
        <v>39</v>
      </c>
      <c r="P525" s="6"/>
      <c r="Q525" s="6">
        <v>1.0</v>
      </c>
      <c r="R525" s="6" t="s">
        <v>26</v>
      </c>
      <c r="S525" s="6" t="s">
        <v>27</v>
      </c>
      <c r="T525" s="6" t="s">
        <v>187</v>
      </c>
    </row>
    <row r="526">
      <c r="B526" s="6" t="s">
        <v>1233</v>
      </c>
      <c r="C526" s="7" t="str">
        <f t="shared" si="1"/>
        <v/>
      </c>
      <c r="D526" s="7" t="s">
        <v>50</v>
      </c>
      <c r="E526" s="7">
        <v>100.0</v>
      </c>
      <c r="F526" s="7"/>
      <c r="G526" s="8" t="s">
        <v>1234</v>
      </c>
      <c r="H526" s="9" t="str">
        <f t="shared" si="133"/>
        <v>https://www.rand.org</v>
      </c>
      <c r="I526" s="9" t="str">
        <f>IFERROR(__xludf.DUMMYFUNCTION("IF(REGEXMATCH(H526,""www""),RIGHT(H526,LEN(H526)-FIND(""."",H526)+0),if(regexmatch(H526,""https://""),right(H526,len(H526)-find(""/"",H526)-1),H526))"),"rand.org")</f>
        <v>rand.org</v>
      </c>
      <c r="J526" s="9" t="str">
        <f t="shared" si="134"/>
        <v>rand.org</v>
      </c>
      <c r="K526" s="9" t="s">
        <v>23</v>
      </c>
      <c r="L526" s="6" t="s">
        <v>24</v>
      </c>
      <c r="M526" s="8" t="str">
        <f t="shared" si="135"/>
        <v>https://newsapi.org/v2/everything?domains=rand.org&amp;apiKey=ae2ad3e68d4e4daca149bbfb9b61c010</v>
      </c>
      <c r="N526" s="6">
        <v>1.0</v>
      </c>
      <c r="O526" s="6" t="s">
        <v>25</v>
      </c>
      <c r="P526" s="6"/>
      <c r="Q526" s="6">
        <v>1.0</v>
      </c>
      <c r="R526" s="6" t="s">
        <v>26</v>
      </c>
      <c r="S526" s="6" t="s">
        <v>27</v>
      </c>
      <c r="T526" s="6" t="s">
        <v>241</v>
      </c>
    </row>
    <row r="527">
      <c r="B527" s="6" t="s">
        <v>1235</v>
      </c>
      <c r="C527" s="7" t="str">
        <f t="shared" si="1"/>
        <v/>
      </c>
      <c r="D527" s="7" t="s">
        <v>20</v>
      </c>
      <c r="E527" s="7"/>
      <c r="F527" s="8" t="s">
        <v>1236</v>
      </c>
      <c r="G527" s="8" t="s">
        <v>1237</v>
      </c>
      <c r="H527" s="9" t="str">
        <f t="shared" si="133"/>
        <v>https://www.raphkoster.com</v>
      </c>
      <c r="I527" s="9" t="str">
        <f>IFERROR(__xludf.DUMMYFUNCTION("IF(REGEXMATCH(H527,""www""),RIGHT(H527,LEN(H527)-FIND(""."",H527)+0),if(regexmatch(H527,""https://""),right(H527,len(H527)-find(""/"",H527)-1),H527))"),"raphkoster.com")</f>
        <v>raphkoster.com</v>
      </c>
      <c r="J527" s="9" t="str">
        <f t="shared" si="134"/>
        <v>raphkoster.com</v>
      </c>
      <c r="K527" s="9" t="s">
        <v>23</v>
      </c>
      <c r="L527" s="6" t="s">
        <v>176</v>
      </c>
      <c r="M527" s="8" t="str">
        <f t="shared" si="135"/>
        <v>https://newsapi.org/v2/everything?domains=raphkoster.com&amp;apiKey=7d4cb29b783f48c8a1837901e959f134</v>
      </c>
      <c r="N527" s="6">
        <v>0.0</v>
      </c>
      <c r="O527" s="6" t="s">
        <v>39</v>
      </c>
      <c r="P527" s="6"/>
      <c r="Q527" s="6">
        <v>1.0</v>
      </c>
      <c r="R527" s="6" t="s">
        <v>26</v>
      </c>
      <c r="S527" s="6" t="s">
        <v>27</v>
      </c>
      <c r="T527" s="6" t="s">
        <v>187</v>
      </c>
    </row>
    <row r="528">
      <c r="B528" s="6" t="s">
        <v>1238</v>
      </c>
      <c r="C528" s="7" t="str">
        <f t="shared" si="1"/>
        <v/>
      </c>
      <c r="D528" s="7" t="s">
        <v>50</v>
      </c>
      <c r="E528" s="7">
        <v>100.0</v>
      </c>
      <c r="F528" s="7"/>
      <c r="G528" s="8" t="s">
        <v>1239</v>
      </c>
      <c r="H528" s="9" t="str">
        <f t="shared" si="133"/>
        <v>https://readwrite.com</v>
      </c>
      <c r="I528" s="9" t="str">
        <f>IFERROR(__xludf.DUMMYFUNCTION("IF(REGEXMATCH(H528,""www""),RIGHT(H528,LEN(H528)-FIND(""."",H528)+0),if(regexmatch(H528,""https://""),right(H528,len(H528)-find(""/"",H528)-1),H528))"),"readwrite.com")</f>
        <v>readwrite.com</v>
      </c>
      <c r="J528" s="9" t="str">
        <f t="shared" si="134"/>
        <v>readwrite.com</v>
      </c>
      <c r="K528" s="9" t="s">
        <v>23</v>
      </c>
      <c r="L528" s="6" t="s">
        <v>24</v>
      </c>
      <c r="M528" s="8" t="str">
        <f t="shared" si="135"/>
        <v>https://newsapi.org/v2/everything?domains=readwrite.com&amp;apiKey=ae2ad3e68d4e4daca149bbfb9b61c010</v>
      </c>
      <c r="N528" s="6">
        <v>0.0</v>
      </c>
      <c r="O528" s="6" t="s">
        <v>25</v>
      </c>
      <c r="P528" s="6"/>
      <c r="Q528" s="6">
        <v>1.0</v>
      </c>
      <c r="R528" s="6" t="s">
        <v>26</v>
      </c>
      <c r="S528" s="6" t="s">
        <v>27</v>
      </c>
      <c r="T528" s="6" t="s">
        <v>76</v>
      </c>
    </row>
    <row r="529">
      <c r="B529" s="6" t="s">
        <v>1240</v>
      </c>
      <c r="C529" s="7" t="str">
        <f t="shared" si="1"/>
        <v/>
      </c>
      <c r="D529" s="7" t="s">
        <v>20</v>
      </c>
      <c r="F529" s="8" t="s">
        <v>1241</v>
      </c>
      <c r="G529" s="8" t="s">
        <v>1242</v>
      </c>
      <c r="H529" s="9" t="str">
        <f t="shared" si="133"/>
        <v>https://replicationindex.com</v>
      </c>
      <c r="I529" s="9" t="str">
        <f>IFERROR(__xludf.DUMMYFUNCTION("IF(REGEXMATCH(H529,""www""),RIGHT(H529,LEN(H529)-FIND(""."",H529)+0),if(regexmatch(H529,""https://""),right(H529,len(H529)-find(""/"",H529)-1),H529))"),"replicationindex.com")</f>
        <v>replicationindex.com</v>
      </c>
      <c r="J529" s="9" t="str">
        <f t="shared" si="134"/>
        <v>replicationindex.com</v>
      </c>
      <c r="K529" s="9" t="s">
        <v>23</v>
      </c>
      <c r="L529" s="6" t="s">
        <v>176</v>
      </c>
      <c r="M529" s="8" t="str">
        <f t="shared" si="135"/>
        <v>https://newsapi.org/v2/everything?domains=replicationindex.com&amp;apiKey=7d4cb29b783f48c8a1837901e959f134</v>
      </c>
      <c r="N529" s="6">
        <v>0.0</v>
      </c>
      <c r="O529" s="6" t="s">
        <v>39</v>
      </c>
      <c r="P529" s="6"/>
      <c r="Q529" s="6">
        <v>1.0</v>
      </c>
      <c r="R529" s="6" t="s">
        <v>26</v>
      </c>
      <c r="S529" s="6" t="s">
        <v>27</v>
      </c>
      <c r="T529" s="6" t="s">
        <v>300</v>
      </c>
    </row>
    <row r="530">
      <c r="B530" s="6" t="s">
        <v>1243</v>
      </c>
      <c r="C530" s="7" t="str">
        <f t="shared" si="1"/>
        <v/>
      </c>
      <c r="D530" s="7" t="s">
        <v>20</v>
      </c>
      <c r="F530" s="8" t="s">
        <v>1244</v>
      </c>
      <c r="G530" s="8" t="s">
        <v>1245</v>
      </c>
      <c r="H530" s="9" t="str">
        <f t="shared" si="133"/>
        <v>https://www.reverseshot.org</v>
      </c>
      <c r="I530" s="9" t="str">
        <f>IFERROR(__xludf.DUMMYFUNCTION("IF(REGEXMATCH(H530,""www""),RIGHT(H530,LEN(H530)-FIND(""."",H530)+0),if(regexmatch(H530,""https://""),right(H530,len(H530)-find(""/"",H530)-1),H530))"),"reverseshot.org")</f>
        <v>reverseshot.org</v>
      </c>
      <c r="J530" s="9" t="str">
        <f t="shared" si="134"/>
        <v>reverseshot.org</v>
      </c>
      <c r="K530" s="9" t="s">
        <v>23</v>
      </c>
      <c r="L530" s="6" t="s">
        <v>176</v>
      </c>
      <c r="M530" s="8" t="str">
        <f t="shared" si="135"/>
        <v>https://newsapi.org/v2/everything?domains=reverseshot.org&amp;apiKey=7d4cb29b783f48c8a1837901e959f134</v>
      </c>
      <c r="N530" s="6">
        <v>1.0</v>
      </c>
      <c r="O530" s="6" t="s">
        <v>25</v>
      </c>
      <c r="P530" s="6"/>
      <c r="Q530" s="6">
        <v>1.0</v>
      </c>
      <c r="R530" s="6" t="s">
        <v>26</v>
      </c>
      <c r="S530" s="6" t="s">
        <v>27</v>
      </c>
      <c r="T530" s="6" t="s">
        <v>90</v>
      </c>
    </row>
    <row r="531">
      <c r="B531" s="6" t="s">
        <v>1246</v>
      </c>
      <c r="C531" s="7" t="str">
        <f t="shared" si="1"/>
        <v/>
      </c>
      <c r="D531" s="7" t="s">
        <v>20</v>
      </c>
      <c r="E531" s="1"/>
      <c r="F531" s="11" t="s">
        <v>1247</v>
      </c>
      <c r="G531" s="1"/>
      <c r="M531" s="1"/>
      <c r="N531" s="6">
        <v>0.0</v>
      </c>
      <c r="O531" s="6" t="s">
        <v>43</v>
      </c>
      <c r="P531" s="6"/>
      <c r="Q531" s="6">
        <v>1.0</v>
      </c>
      <c r="R531" s="6" t="s">
        <v>26</v>
      </c>
      <c r="S531" s="6" t="s">
        <v>27</v>
      </c>
      <c r="T531" s="6" t="s">
        <v>48</v>
      </c>
    </row>
    <row r="532">
      <c r="B532" s="6" t="s">
        <v>1248</v>
      </c>
      <c r="C532" s="7" t="str">
        <f t="shared" si="1"/>
        <v/>
      </c>
      <c r="D532" s="7" t="s">
        <v>20</v>
      </c>
      <c r="F532" s="8" t="s">
        <v>1249</v>
      </c>
      <c r="G532" s="8" t="s">
        <v>1250</v>
      </c>
      <c r="H532" s="9" t="str">
        <f t="shared" ref="H532:H534" si="136">LEFT(G532, LEN(G532)-1)</f>
        <v>https://www.ribbonfarm.com</v>
      </c>
      <c r="I532" s="9" t="str">
        <f>IFERROR(__xludf.DUMMYFUNCTION("IF(REGEXMATCH(H532,""www""),RIGHT(H532,LEN(H532)-FIND(""."",H532)+0),if(regexmatch(H532,""https://""),right(H532,len(H532)-find(""/"",H532)-1),H532))"),"ribbonfarm.com")</f>
        <v>ribbonfarm.com</v>
      </c>
      <c r="J532" s="9" t="str">
        <f t="shared" ref="J532:J534" si="137">I532</f>
        <v>ribbonfarm.com</v>
      </c>
      <c r="K532" s="9" t="s">
        <v>23</v>
      </c>
      <c r="L532" s="6" t="s">
        <v>176</v>
      </c>
      <c r="M532" s="8" t="str">
        <f t="shared" ref="M532:M534" si="138">K532&amp;J532&amp;L532</f>
        <v>https://newsapi.org/v2/everything?domains=ribbonfarm.com&amp;apiKey=7d4cb29b783f48c8a1837901e959f134</v>
      </c>
      <c r="N532" s="6">
        <v>0.0</v>
      </c>
      <c r="O532" s="6" t="s">
        <v>39</v>
      </c>
      <c r="P532" s="6"/>
      <c r="Q532" s="6">
        <v>1.0</v>
      </c>
      <c r="R532" s="6" t="s">
        <v>26</v>
      </c>
      <c r="S532" s="6" t="s">
        <v>27</v>
      </c>
      <c r="T532" s="6" t="s">
        <v>70</v>
      </c>
    </row>
    <row r="533">
      <c r="B533" s="6" t="s">
        <v>1251</v>
      </c>
      <c r="C533" s="7" t="str">
        <f t="shared" si="1"/>
        <v/>
      </c>
      <c r="D533" s="7" t="s">
        <v>20</v>
      </c>
      <c r="F533" s="8" t="s">
        <v>1252</v>
      </c>
      <c r="G533" s="11" t="s">
        <v>1253</v>
      </c>
      <c r="H533" s="9" t="str">
        <f t="shared" si="136"/>
        <v>https://morrick.me</v>
      </c>
      <c r="I533" s="9" t="str">
        <f>IFERROR(__xludf.DUMMYFUNCTION("IF(REGEXMATCH(H533,""www""),RIGHT(H533,LEN(H533)-FIND(""."",H533)+0),if(regexmatch(H533,""https://""),right(H533,len(H533)-find(""/"",H533)-1),H533))"),"morrick.me")</f>
        <v>morrick.me</v>
      </c>
      <c r="J533" s="9" t="str">
        <f t="shared" si="137"/>
        <v>morrick.me</v>
      </c>
      <c r="K533" s="9" t="s">
        <v>23</v>
      </c>
      <c r="L533" s="6" t="s">
        <v>176</v>
      </c>
      <c r="M533" s="8" t="str">
        <f t="shared" si="138"/>
        <v>https://newsapi.org/v2/everything?domains=morrick.me&amp;apiKey=7d4cb29b783f48c8a1837901e959f134</v>
      </c>
      <c r="N533" s="6">
        <v>0.0</v>
      </c>
      <c r="O533" s="6" t="s">
        <v>39</v>
      </c>
      <c r="P533" s="6"/>
      <c r="Q533" s="6">
        <v>1.0</v>
      </c>
      <c r="R533" s="6" t="s">
        <v>26</v>
      </c>
      <c r="S533" s="6" t="s">
        <v>27</v>
      </c>
      <c r="T533" s="6" t="s">
        <v>76</v>
      </c>
    </row>
    <row r="534">
      <c r="B534" s="6" t="s">
        <v>1254</v>
      </c>
      <c r="C534" s="7" t="str">
        <f t="shared" si="1"/>
        <v/>
      </c>
      <c r="D534" s="7" t="s">
        <v>50</v>
      </c>
      <c r="E534" s="7">
        <v>100.0</v>
      </c>
      <c r="F534" s="1"/>
      <c r="G534" s="8" t="s">
        <v>1255</v>
      </c>
      <c r="H534" s="9" t="str">
        <f t="shared" si="136"/>
        <v>https://www.rollingstone.com</v>
      </c>
      <c r="I534" s="9" t="str">
        <f>IFERROR(__xludf.DUMMYFUNCTION("IF(REGEXMATCH(H534,""www""),RIGHT(H534,LEN(H534)-FIND(""."",H534)+0),if(regexmatch(H534,""https://""),right(H534,len(H534)-find(""/"",H534)-1),H534))"),"rollingstone.com")</f>
        <v>rollingstone.com</v>
      </c>
      <c r="J534" s="9" t="str">
        <f t="shared" si="137"/>
        <v>rollingstone.com</v>
      </c>
      <c r="K534" s="9" t="s">
        <v>23</v>
      </c>
      <c r="L534" s="6" t="s">
        <v>24</v>
      </c>
      <c r="M534" s="8" t="str">
        <f t="shared" si="138"/>
        <v>https://newsapi.org/v2/everything?domains=rollingstone.com&amp;apiKey=ae2ad3e68d4e4daca149bbfb9b61c010</v>
      </c>
      <c r="N534" s="13">
        <v>1.0</v>
      </c>
      <c r="O534" s="14" t="s">
        <v>25</v>
      </c>
      <c r="P534" s="16">
        <v>4.0</v>
      </c>
      <c r="Q534" s="15">
        <v>1.0</v>
      </c>
      <c r="R534" s="6" t="s">
        <v>26</v>
      </c>
      <c r="S534" s="14" t="s">
        <v>27</v>
      </c>
      <c r="T534" s="16" t="s">
        <v>32</v>
      </c>
    </row>
    <row r="535">
      <c r="B535" s="6" t="s">
        <v>1256</v>
      </c>
      <c r="C535" s="7" t="str">
        <f t="shared" si="1"/>
        <v/>
      </c>
      <c r="D535" s="7" t="s">
        <v>20</v>
      </c>
      <c r="E535" s="1"/>
      <c r="F535" s="11" t="s">
        <v>1257</v>
      </c>
      <c r="G535" s="1"/>
      <c r="M535" s="1"/>
      <c r="N535" s="6">
        <v>0.0</v>
      </c>
      <c r="O535" s="6" t="s">
        <v>43</v>
      </c>
      <c r="P535" s="6"/>
      <c r="Q535" s="6">
        <v>1.0</v>
      </c>
      <c r="R535" s="6" t="s">
        <v>26</v>
      </c>
      <c r="S535" s="6" t="s">
        <v>27</v>
      </c>
      <c r="T535" s="6" t="s">
        <v>70</v>
      </c>
    </row>
    <row r="536">
      <c r="B536" s="6" t="s">
        <v>1258</v>
      </c>
      <c r="C536" s="7" t="str">
        <f t="shared" si="1"/>
        <v/>
      </c>
      <c r="D536" s="7" t="s">
        <v>50</v>
      </c>
      <c r="E536" s="7">
        <v>16.0</v>
      </c>
      <c r="F536" s="7"/>
      <c r="G536" s="8" t="s">
        <v>1259</v>
      </c>
      <c r="H536" s="9" t="str">
        <f t="shared" ref="H536:H544" si="139">LEFT(G536, LEN(G536)-1)</f>
        <v>https://scitechdaily.com</v>
      </c>
      <c r="I536" s="9" t="str">
        <f>IFERROR(__xludf.DUMMYFUNCTION("IF(REGEXMATCH(H536,""www""),RIGHT(H536,LEN(H536)-FIND(""."",H536)+0),if(regexmatch(H536,""https://""),right(H536,len(H536)-find(""/"",H536)-1),H536))"),"scitechdaily.com")</f>
        <v>scitechdaily.com</v>
      </c>
      <c r="J536" s="9" t="str">
        <f t="shared" ref="J536:J544" si="140">I536</f>
        <v>scitechdaily.com</v>
      </c>
      <c r="K536" s="9" t="s">
        <v>23</v>
      </c>
      <c r="L536" s="6" t="s">
        <v>24</v>
      </c>
      <c r="M536" s="8" t="str">
        <f t="shared" ref="M536:M544" si="141">K536&amp;J536&amp;L536</f>
        <v>https://newsapi.org/v2/everything?domains=scitechdaily.com&amp;apiKey=ae2ad3e68d4e4daca149bbfb9b61c010</v>
      </c>
      <c r="N536" s="6">
        <v>1.0</v>
      </c>
      <c r="O536" s="6" t="s">
        <v>25</v>
      </c>
      <c r="P536" s="6"/>
      <c r="Q536" s="6">
        <v>1.0</v>
      </c>
      <c r="R536" s="6" t="s">
        <v>26</v>
      </c>
      <c r="S536" s="6" t="s">
        <v>27</v>
      </c>
      <c r="T536" s="6" t="s">
        <v>131</v>
      </c>
    </row>
    <row r="537">
      <c r="B537" s="6" t="s">
        <v>1260</v>
      </c>
      <c r="C537" s="7" t="str">
        <f t="shared" si="1"/>
        <v/>
      </c>
      <c r="D537" s="7" t="s">
        <v>50</v>
      </c>
      <c r="E537" s="7">
        <v>100.0</v>
      </c>
      <c r="F537" s="7"/>
      <c r="G537" s="8" t="s">
        <v>1261</v>
      </c>
      <c r="H537" s="9" t="str">
        <f t="shared" si="139"/>
        <v>https://www.sciencedaily.com</v>
      </c>
      <c r="I537" s="9" t="str">
        <f>IFERROR(__xludf.DUMMYFUNCTION("IF(REGEXMATCH(H537,""www""),RIGHT(H537,LEN(H537)-FIND(""."",H537)+0),if(regexmatch(H537,""https://""),right(H537,len(H537)-find(""/"",H537)-1),H537))"),"sciencedaily.com")</f>
        <v>sciencedaily.com</v>
      </c>
      <c r="J537" s="9" t="str">
        <f t="shared" si="140"/>
        <v>sciencedaily.com</v>
      </c>
      <c r="K537" s="9" t="s">
        <v>23</v>
      </c>
      <c r="L537" s="6" t="s">
        <v>24</v>
      </c>
      <c r="M537" s="8" t="str">
        <f t="shared" si="141"/>
        <v>https://newsapi.org/v2/everything?domains=sciencedaily.com&amp;apiKey=ae2ad3e68d4e4daca149bbfb9b61c010</v>
      </c>
      <c r="N537" s="6">
        <v>1.0</v>
      </c>
      <c r="O537" s="6" t="s">
        <v>25</v>
      </c>
      <c r="P537" s="6"/>
      <c r="Q537" s="6">
        <v>1.0</v>
      </c>
      <c r="R537" s="6" t="s">
        <v>26</v>
      </c>
      <c r="S537" s="6" t="s">
        <v>27</v>
      </c>
      <c r="T537" s="6" t="s">
        <v>131</v>
      </c>
    </row>
    <row r="538">
      <c r="B538" s="6" t="s">
        <v>1262</v>
      </c>
      <c r="C538" s="7" t="str">
        <f t="shared" si="1"/>
        <v/>
      </c>
      <c r="D538" s="7" t="s">
        <v>50</v>
      </c>
      <c r="E538" s="7">
        <v>100.0</v>
      </c>
      <c r="F538" s="7"/>
      <c r="G538" s="8" t="s">
        <v>1263</v>
      </c>
      <c r="H538" s="9" t="str">
        <f t="shared" si="139"/>
        <v>https://www.science.org</v>
      </c>
      <c r="I538" s="9" t="str">
        <f>IFERROR(__xludf.DUMMYFUNCTION("IF(REGEXMATCH(H538,""www""),RIGHT(H538,LEN(H538)-FIND(""."",H538)+0),if(regexmatch(H538,""https://""),right(H538,len(H538)-find(""/"",H538)-1),H538))"),"science.org")</f>
        <v>science.org</v>
      </c>
      <c r="J538" s="9" t="str">
        <f t="shared" si="140"/>
        <v>science.org</v>
      </c>
      <c r="K538" s="9" t="s">
        <v>23</v>
      </c>
      <c r="L538" s="6" t="s">
        <v>176</v>
      </c>
      <c r="M538" s="8" t="str">
        <f t="shared" si="141"/>
        <v>https://newsapi.org/v2/everything?domains=science.org&amp;apiKey=7d4cb29b783f48c8a1837901e959f134</v>
      </c>
      <c r="N538" s="6">
        <v>1.0</v>
      </c>
      <c r="O538" s="6" t="s">
        <v>25</v>
      </c>
      <c r="P538" s="6"/>
      <c r="Q538" s="6">
        <v>1.0</v>
      </c>
      <c r="R538" s="6" t="s">
        <v>26</v>
      </c>
      <c r="S538" s="6" t="s">
        <v>27</v>
      </c>
      <c r="T538" s="6" t="s">
        <v>101</v>
      </c>
    </row>
    <row r="539">
      <c r="B539" s="6" t="s">
        <v>1264</v>
      </c>
      <c r="C539" s="7" t="str">
        <f t="shared" si="1"/>
        <v/>
      </c>
      <c r="D539" s="7" t="s">
        <v>50</v>
      </c>
      <c r="E539" s="7">
        <v>80.0</v>
      </c>
      <c r="F539" s="7"/>
      <c r="G539" s="8" t="s">
        <v>1265</v>
      </c>
      <c r="H539" s="9" t="str">
        <f t="shared" si="139"/>
        <v>https://www.scientificamerican.com</v>
      </c>
      <c r="I539" s="9" t="str">
        <f>IFERROR(__xludf.DUMMYFUNCTION("IF(REGEXMATCH(H539,""www""),RIGHT(H539,LEN(H539)-FIND(""."",H539)+0),if(regexmatch(H539,""https://""),right(H539,len(H539)-find(""/"",H539)-1),H539))"),"scientificamerican.com")</f>
        <v>scientificamerican.com</v>
      </c>
      <c r="J539" s="9" t="str">
        <f t="shared" si="140"/>
        <v>scientificamerican.com</v>
      </c>
      <c r="K539" s="9" t="s">
        <v>23</v>
      </c>
      <c r="L539" s="6" t="s">
        <v>176</v>
      </c>
      <c r="M539" s="8" t="str">
        <f t="shared" si="141"/>
        <v>https://newsapi.org/v2/everything?domains=scientificamerican.com&amp;apiKey=7d4cb29b783f48c8a1837901e959f134</v>
      </c>
      <c r="N539" s="6">
        <v>1.0</v>
      </c>
      <c r="O539" s="6" t="s">
        <v>25</v>
      </c>
      <c r="P539" s="6"/>
      <c r="Q539" s="6">
        <v>1.0</v>
      </c>
      <c r="R539" s="6" t="s">
        <v>26</v>
      </c>
      <c r="S539" s="6" t="s">
        <v>27</v>
      </c>
      <c r="T539" s="6" t="s">
        <v>131</v>
      </c>
    </row>
    <row r="540">
      <c r="B540" s="6" t="s">
        <v>1266</v>
      </c>
      <c r="C540" s="7" t="str">
        <f t="shared" si="1"/>
        <v/>
      </c>
      <c r="D540" s="7" t="s">
        <v>50</v>
      </c>
      <c r="E540" s="7">
        <v>100.0</v>
      </c>
      <c r="F540" s="7"/>
      <c r="G540" s="8" t="s">
        <v>1267</v>
      </c>
      <c r="H540" s="9" t="str">
        <f t="shared" si="139"/>
        <v>https://searchengineland.com</v>
      </c>
      <c r="I540" s="9" t="str">
        <f>IFERROR(__xludf.DUMMYFUNCTION("IF(REGEXMATCH(H540,""www""),RIGHT(H540,LEN(H540)-FIND(""."",H540)+0),if(regexmatch(H540,""https://""),right(H540,len(H540)-find(""/"",H540)-1),H540))"),"searchengineland.com")</f>
        <v>searchengineland.com</v>
      </c>
      <c r="J540" s="9" t="str">
        <f t="shared" si="140"/>
        <v>searchengineland.com</v>
      </c>
      <c r="K540" s="9" t="s">
        <v>23</v>
      </c>
      <c r="L540" s="6" t="s">
        <v>176</v>
      </c>
      <c r="M540" s="8" t="str">
        <f t="shared" si="141"/>
        <v>https://newsapi.org/v2/everything?domains=searchengineland.com&amp;apiKey=7d4cb29b783f48c8a1837901e959f134</v>
      </c>
      <c r="N540" s="6">
        <v>1.0</v>
      </c>
      <c r="O540" s="6" t="s">
        <v>25</v>
      </c>
      <c r="P540" s="6"/>
      <c r="Q540" s="6">
        <v>1.0</v>
      </c>
      <c r="R540" s="6" t="s">
        <v>26</v>
      </c>
      <c r="S540" s="6" t="s">
        <v>27</v>
      </c>
      <c r="T540" s="6" t="s">
        <v>329</v>
      </c>
    </row>
    <row r="541">
      <c r="B541" s="6" t="s">
        <v>1268</v>
      </c>
      <c r="C541" s="7" t="str">
        <f t="shared" si="1"/>
        <v/>
      </c>
      <c r="D541" s="16" t="s">
        <v>20</v>
      </c>
      <c r="E541" s="12"/>
      <c r="F541" s="11" t="s">
        <v>1269</v>
      </c>
      <c r="G541" s="7"/>
      <c r="H541" s="10" t="str">
        <f t="shared" si="139"/>
        <v>#VALUE!</v>
      </c>
      <c r="I541" s="10" t="str">
        <f>IFERROR(__xludf.DUMMYFUNCTION("IF(REGEXMATCH(H541,""www""),RIGHT(H541,LEN(H541)-FIND(""."",H541)+0),if(regexmatch(H541,""https://""),right(H541,len(H541)-find(""/"",H541)-1),H541))"),"#VALUE!")</f>
        <v>#VALUE!</v>
      </c>
      <c r="J541" s="10" t="str">
        <f t="shared" si="140"/>
        <v>#VALUE!</v>
      </c>
      <c r="K541" s="9" t="s">
        <v>23</v>
      </c>
      <c r="L541" s="6" t="s">
        <v>24</v>
      </c>
      <c r="M541" s="7" t="str">
        <f t="shared" si="141"/>
        <v>#VALUE!</v>
      </c>
      <c r="N541" s="6">
        <v>0.0</v>
      </c>
      <c r="O541" s="6" t="s">
        <v>43</v>
      </c>
      <c r="P541" s="6"/>
      <c r="Q541" s="6">
        <v>1.0</v>
      </c>
      <c r="R541" s="6" t="s">
        <v>26</v>
      </c>
      <c r="S541" s="6" t="s">
        <v>27</v>
      </c>
      <c r="T541" s="6" t="s">
        <v>101</v>
      </c>
    </row>
    <row r="542">
      <c r="B542" s="6" t="s">
        <v>1270</v>
      </c>
      <c r="C542" s="7" t="str">
        <f t="shared" si="1"/>
        <v/>
      </c>
      <c r="D542" s="7" t="s">
        <v>20</v>
      </c>
      <c r="E542" s="7"/>
      <c r="F542" s="8" t="s">
        <v>1271</v>
      </c>
      <c r="G542" s="8" t="s">
        <v>1272</v>
      </c>
      <c r="H542" s="9" t="str">
        <f t="shared" si="139"/>
        <v>https://separatedbyacommonlanguage.blogspot.com</v>
      </c>
      <c r="I542" s="9" t="str">
        <f>IFERROR(__xludf.DUMMYFUNCTION("IF(REGEXMATCH(H542,""www""),RIGHT(H542,LEN(H542)-FIND(""."",H542)+0),if(regexmatch(H542,""https://""),right(H542,len(H542)-find(""/"",H542)-1),H542))"),"separatedbyacommonlanguage.blogspot.com")</f>
        <v>separatedbyacommonlanguage.blogspot.com</v>
      </c>
      <c r="J542" s="9" t="str">
        <f t="shared" si="140"/>
        <v>separatedbyacommonlanguage.blogspot.com</v>
      </c>
      <c r="K542" s="9" t="s">
        <v>23</v>
      </c>
      <c r="L542" s="6" t="s">
        <v>176</v>
      </c>
      <c r="M542" s="8" t="str">
        <f t="shared" si="141"/>
        <v>https://newsapi.org/v2/everything?domains=separatedbyacommonlanguage.blogspot.com&amp;apiKey=7d4cb29b783f48c8a1837901e959f134</v>
      </c>
      <c r="N542" s="6">
        <v>0.0</v>
      </c>
      <c r="O542" s="6" t="s">
        <v>39</v>
      </c>
      <c r="P542" s="6"/>
      <c r="Q542" s="6">
        <v>1.0</v>
      </c>
      <c r="R542" s="6" t="s">
        <v>26</v>
      </c>
      <c r="S542" s="6" t="s">
        <v>27</v>
      </c>
      <c r="T542" s="6" t="s">
        <v>104</v>
      </c>
    </row>
    <row r="543">
      <c r="B543" s="6" t="s">
        <v>1273</v>
      </c>
      <c r="C543" s="7" t="str">
        <f t="shared" si="1"/>
        <v/>
      </c>
      <c r="D543" s="7" t="s">
        <v>30</v>
      </c>
      <c r="E543" s="7"/>
      <c r="F543" s="8" t="s">
        <v>1274</v>
      </c>
      <c r="G543" s="8" t="s">
        <v>1275</v>
      </c>
      <c r="H543" s="9" t="str">
        <f t="shared" si="139"/>
        <v>https://serhack.me</v>
      </c>
      <c r="I543" s="9" t="str">
        <f>IFERROR(__xludf.DUMMYFUNCTION("IF(REGEXMATCH(H543,""www""),RIGHT(H543,LEN(H543)-FIND(""."",H543)+0),if(regexmatch(H543,""https://""),right(H543,len(H543)-find(""/"",H543)-1),H543))"),"serhack.me")</f>
        <v>serhack.me</v>
      </c>
      <c r="J543" s="9" t="str">
        <f t="shared" si="140"/>
        <v>serhack.me</v>
      </c>
      <c r="K543" s="9" t="s">
        <v>23</v>
      </c>
      <c r="L543" s="6" t="s">
        <v>176</v>
      </c>
      <c r="M543" s="8" t="str">
        <f t="shared" si="141"/>
        <v>https://newsapi.org/v2/everything?domains=serhack.me&amp;apiKey=7d4cb29b783f48c8a1837901e959f134</v>
      </c>
      <c r="N543" s="6">
        <v>0.0</v>
      </c>
      <c r="O543" s="6" t="s">
        <v>39</v>
      </c>
      <c r="P543" s="6"/>
      <c r="Q543" s="6">
        <v>1.0</v>
      </c>
      <c r="R543" s="6" t="s">
        <v>26</v>
      </c>
      <c r="S543" s="6" t="s">
        <v>27</v>
      </c>
      <c r="T543" s="6" t="s">
        <v>145</v>
      </c>
    </row>
    <row r="544">
      <c r="B544" s="6" t="s">
        <v>1276</v>
      </c>
      <c r="C544" s="7" t="str">
        <f t="shared" si="1"/>
        <v/>
      </c>
      <c r="D544" s="7" t="s">
        <v>50</v>
      </c>
      <c r="E544" s="7">
        <v>33.0</v>
      </c>
      <c r="F544" s="7"/>
      <c r="G544" s="8" t="s">
        <v>1277</v>
      </c>
      <c r="H544" s="9" t="str">
        <f t="shared" si="139"/>
        <v>https://seths.blog</v>
      </c>
      <c r="I544" s="10" t="str">
        <f>IFERROR(__xludf.DUMMYFUNCTION("IF(REGEXMATCH(H544,""www""),RIGHT(H544,LEN(H544)-FIND(""."",H544)+0),if(regexmatch(H544,""https://""),right(H544,len(H544)-find(""/"",H544)-1),H544))"),"seths.blog")</f>
        <v>seths.blog</v>
      </c>
      <c r="J544" s="10" t="str">
        <f t="shared" si="140"/>
        <v>seths.blog</v>
      </c>
      <c r="K544" s="9" t="s">
        <v>23</v>
      </c>
      <c r="L544" s="6" t="s">
        <v>176</v>
      </c>
      <c r="M544" s="8" t="str">
        <f t="shared" si="141"/>
        <v>https://newsapi.org/v2/everything?domains=seths.blog&amp;apiKey=7d4cb29b783f48c8a1837901e959f134</v>
      </c>
      <c r="N544" s="6">
        <v>0.0</v>
      </c>
      <c r="O544" s="6" t="s">
        <v>39</v>
      </c>
      <c r="P544" s="6"/>
      <c r="Q544" s="6">
        <v>1.0</v>
      </c>
      <c r="R544" s="6" t="s">
        <v>26</v>
      </c>
      <c r="S544" s="6" t="s">
        <v>27</v>
      </c>
      <c r="T544" s="6" t="s">
        <v>70</v>
      </c>
    </row>
    <row r="545">
      <c r="B545" s="6" t="s">
        <v>1278</v>
      </c>
      <c r="C545" s="7" t="str">
        <f t="shared" si="1"/>
        <v/>
      </c>
      <c r="D545" s="16" t="s">
        <v>20</v>
      </c>
      <c r="E545" s="12"/>
      <c r="F545" s="11" t="s">
        <v>1279</v>
      </c>
      <c r="G545" s="7"/>
      <c r="M545" s="1"/>
      <c r="N545" s="6">
        <v>0.0</v>
      </c>
      <c r="O545" s="6" t="s">
        <v>43</v>
      </c>
      <c r="P545" s="6"/>
      <c r="Q545" s="6">
        <v>1.0</v>
      </c>
      <c r="R545" s="6" t="s">
        <v>26</v>
      </c>
      <c r="S545" s="6" t="s">
        <v>27</v>
      </c>
      <c r="T545" s="6" t="s">
        <v>241</v>
      </c>
    </row>
    <row r="546">
      <c r="B546" s="6" t="s">
        <v>1280</v>
      </c>
      <c r="C546" s="7" t="str">
        <f t="shared" si="1"/>
        <v/>
      </c>
      <c r="D546" s="7" t="s">
        <v>20</v>
      </c>
      <c r="E546" s="1"/>
      <c r="F546" s="8" t="s">
        <v>1281</v>
      </c>
      <c r="G546" s="1"/>
      <c r="M546" s="1"/>
      <c r="N546" s="6">
        <v>0.0</v>
      </c>
      <c r="O546" s="6" t="s">
        <v>25</v>
      </c>
      <c r="P546" s="6"/>
      <c r="Q546" s="6">
        <v>1.0</v>
      </c>
      <c r="R546" s="6" t="s">
        <v>26</v>
      </c>
      <c r="S546" s="6" t="s">
        <v>27</v>
      </c>
      <c r="T546" s="6" t="s">
        <v>40</v>
      </c>
    </row>
    <row r="547">
      <c r="B547" s="6" t="s">
        <v>1282</v>
      </c>
      <c r="C547" s="7" t="str">
        <f t="shared" si="1"/>
        <v/>
      </c>
      <c r="D547" s="7" t="s">
        <v>20</v>
      </c>
      <c r="E547" s="1"/>
      <c r="F547" s="8" t="s">
        <v>1283</v>
      </c>
      <c r="G547" s="1"/>
      <c r="M547" s="1"/>
      <c r="N547" s="6">
        <v>0.0</v>
      </c>
      <c r="O547" s="6" t="s">
        <v>25</v>
      </c>
      <c r="P547" s="6"/>
      <c r="Q547" s="6">
        <v>1.0</v>
      </c>
      <c r="R547" s="6" t="s">
        <v>26</v>
      </c>
      <c r="S547" s="6" t="s">
        <v>27</v>
      </c>
      <c r="T547" s="6" t="s">
        <v>76</v>
      </c>
    </row>
    <row r="548">
      <c r="B548" s="6" t="s">
        <v>1284</v>
      </c>
      <c r="C548" s="7" t="str">
        <f t="shared" si="1"/>
        <v/>
      </c>
      <c r="D548" s="7" t="s">
        <v>50</v>
      </c>
      <c r="E548" s="12">
        <v>100.0</v>
      </c>
      <c r="F548" s="12"/>
      <c r="G548" s="11" t="s">
        <v>1285</v>
      </c>
      <c r="H548" s="9" t="str">
        <f t="shared" ref="H548:H560" si="142">LEFT(G548, LEN(G548)-1)</f>
        <v>https://singularityhub.com</v>
      </c>
      <c r="I548" s="9" t="str">
        <f>IFERROR(__xludf.DUMMYFUNCTION("IF(REGEXMATCH(H548,""www""),RIGHT(H548,LEN(H548)-FIND(""."",H548)+0),if(regexmatch(H548,""https://""),right(H548,len(H548)-find(""/"",H548)-1),H548))"),"singularityhub.com")</f>
        <v>singularityhub.com</v>
      </c>
      <c r="J548" s="9" t="str">
        <f t="shared" ref="J548:J560" si="143">I548</f>
        <v>singularityhub.com</v>
      </c>
      <c r="K548" s="9" t="s">
        <v>23</v>
      </c>
      <c r="L548" s="6" t="s">
        <v>176</v>
      </c>
      <c r="M548" s="8" t="str">
        <f t="shared" ref="M548:M560" si="144">K548&amp;J548&amp;L548</f>
        <v>https://newsapi.org/v2/everything?domains=singularityhub.com&amp;apiKey=7d4cb29b783f48c8a1837901e959f134</v>
      </c>
      <c r="N548" s="6">
        <v>0.0</v>
      </c>
      <c r="O548" s="6" t="s">
        <v>25</v>
      </c>
      <c r="P548" s="6"/>
      <c r="Q548" s="6">
        <v>1.0</v>
      </c>
      <c r="R548" s="6" t="s">
        <v>26</v>
      </c>
      <c r="S548" s="6" t="s">
        <v>27</v>
      </c>
      <c r="T548" s="6" t="s">
        <v>76</v>
      </c>
    </row>
    <row r="549">
      <c r="B549" s="6" t="s">
        <v>1286</v>
      </c>
      <c r="C549" s="7" t="str">
        <f t="shared" si="1"/>
        <v/>
      </c>
      <c r="D549" s="7" t="s">
        <v>20</v>
      </c>
      <c r="E549" s="7"/>
      <c r="F549" s="8" t="s">
        <v>1287</v>
      </c>
      <c r="G549" s="8" t="s">
        <v>1288</v>
      </c>
      <c r="H549" s="9" t="str">
        <f t="shared" si="142"/>
        <v>https://www.sipri.org</v>
      </c>
      <c r="I549" s="9" t="str">
        <f>IFERROR(__xludf.DUMMYFUNCTION("IF(REGEXMATCH(H549,""www""),RIGHT(H549,LEN(H549)-FIND(""."",H549)+0),if(regexmatch(H549,""https://""),right(H549,len(H549)-find(""/"",H549)-1),H549))"),"sipri.org")</f>
        <v>sipri.org</v>
      </c>
      <c r="J549" s="9" t="str">
        <f t="shared" si="143"/>
        <v>sipri.org</v>
      </c>
      <c r="K549" s="9" t="s">
        <v>23</v>
      </c>
      <c r="L549" s="6" t="s">
        <v>176</v>
      </c>
      <c r="M549" s="8" t="str">
        <f t="shared" si="144"/>
        <v>https://newsapi.org/v2/everything?domains=sipri.org&amp;apiKey=7d4cb29b783f48c8a1837901e959f134</v>
      </c>
      <c r="N549" s="6">
        <v>1.0</v>
      </c>
      <c r="O549" s="6" t="s">
        <v>25</v>
      </c>
      <c r="P549" s="6"/>
      <c r="Q549" s="6">
        <v>1.0</v>
      </c>
      <c r="R549" s="6" t="s">
        <v>26</v>
      </c>
      <c r="S549" s="6" t="s">
        <v>27</v>
      </c>
      <c r="T549" s="6" t="s">
        <v>241</v>
      </c>
    </row>
    <row r="550">
      <c r="B550" s="6" t="s">
        <v>1289</v>
      </c>
      <c r="C550" s="7" t="str">
        <f t="shared" si="1"/>
        <v/>
      </c>
      <c r="D550" s="7" t="s">
        <v>20</v>
      </c>
      <c r="E550" s="7"/>
      <c r="F550" s="8" t="s">
        <v>1290</v>
      </c>
      <c r="G550" s="8" t="s">
        <v>1291</v>
      </c>
      <c r="H550" s="9" t="str">
        <f t="shared" si="142"/>
        <v>https://skyandtelescope.org</v>
      </c>
      <c r="I550" s="9" t="str">
        <f>IFERROR(__xludf.DUMMYFUNCTION("IF(REGEXMATCH(H550,""www""),RIGHT(H550,LEN(H550)-FIND(""."",H550)+0),if(regexmatch(H550,""https://""),right(H550,len(H550)-find(""/"",H550)-1),H550))"),"skyandtelescope.org")</f>
        <v>skyandtelescope.org</v>
      </c>
      <c r="J550" s="9" t="str">
        <f t="shared" si="143"/>
        <v>skyandtelescope.org</v>
      </c>
      <c r="K550" s="9" t="s">
        <v>23</v>
      </c>
      <c r="L550" s="6" t="s">
        <v>176</v>
      </c>
      <c r="M550" s="8" t="str">
        <f t="shared" si="144"/>
        <v>https://newsapi.org/v2/everything?domains=skyandtelescope.org&amp;apiKey=7d4cb29b783f48c8a1837901e959f134</v>
      </c>
      <c r="N550" s="6">
        <v>1.0</v>
      </c>
      <c r="O550" s="6" t="s">
        <v>25</v>
      </c>
      <c r="P550" s="6"/>
      <c r="Q550" s="6">
        <v>1.0</v>
      </c>
      <c r="R550" s="6" t="s">
        <v>26</v>
      </c>
      <c r="S550" s="6" t="s">
        <v>27</v>
      </c>
      <c r="T550" s="6" t="s">
        <v>64</v>
      </c>
    </row>
    <row r="551">
      <c r="B551" s="6" t="s">
        <v>1292</v>
      </c>
      <c r="C551" s="7" t="str">
        <f t="shared" si="1"/>
        <v/>
      </c>
      <c r="D551" s="7" t="s">
        <v>50</v>
      </c>
      <c r="E551" s="7">
        <v>20.0</v>
      </c>
      <c r="F551" s="7"/>
      <c r="G551" s="8" t="s">
        <v>1293</v>
      </c>
      <c r="H551" s="9" t="str">
        <f t="shared" si="142"/>
        <v>https://www.slrlounge.com</v>
      </c>
      <c r="I551" s="9" t="str">
        <f>IFERROR(__xludf.DUMMYFUNCTION("IF(REGEXMATCH(H551,""www""),RIGHT(H551,LEN(H551)-FIND(""."",H551)+0),if(regexmatch(H551,""https://""),right(H551,len(H551)-find(""/"",H551)-1),H551))"),"slrlounge.com")</f>
        <v>slrlounge.com</v>
      </c>
      <c r="J551" s="9" t="str">
        <f t="shared" si="143"/>
        <v>slrlounge.com</v>
      </c>
      <c r="K551" s="9" t="s">
        <v>23</v>
      </c>
      <c r="L551" s="6" t="s">
        <v>24</v>
      </c>
      <c r="M551" s="8" t="str">
        <f t="shared" si="144"/>
        <v>https://newsapi.org/v2/everything?domains=slrlounge.com&amp;apiKey=ae2ad3e68d4e4daca149bbfb9b61c010</v>
      </c>
      <c r="N551" s="6">
        <v>1.0</v>
      </c>
      <c r="O551" s="6" t="s">
        <v>25</v>
      </c>
      <c r="P551" s="6"/>
      <c r="Q551" s="6">
        <v>1.0</v>
      </c>
      <c r="R551" s="6" t="s">
        <v>26</v>
      </c>
      <c r="S551" s="6" t="s">
        <v>27</v>
      </c>
      <c r="T551" s="6" t="s">
        <v>333</v>
      </c>
    </row>
    <row r="552">
      <c r="B552" s="6" t="s">
        <v>1294</v>
      </c>
      <c r="C552" s="7" t="str">
        <f t="shared" si="1"/>
        <v/>
      </c>
      <c r="D552" s="7" t="s">
        <v>30</v>
      </c>
      <c r="E552" s="7"/>
      <c r="F552" s="8" t="s">
        <v>1295</v>
      </c>
      <c r="G552" s="8" t="s">
        <v>1296</v>
      </c>
      <c r="H552" s="9" t="str">
        <f t="shared" si="142"/>
        <v>https://smarthistory.org</v>
      </c>
      <c r="I552" s="9" t="str">
        <f>IFERROR(__xludf.DUMMYFUNCTION("IF(REGEXMATCH(H552,""www""),RIGHT(H552,LEN(H552)-FIND(""."",H552)+0),if(regexmatch(H552,""https://""),right(H552,len(H552)-find(""/"",H552)-1),H552))"),"smarthistory.org")</f>
        <v>smarthistory.org</v>
      </c>
      <c r="J552" s="9" t="str">
        <f t="shared" si="143"/>
        <v>smarthistory.org</v>
      </c>
      <c r="K552" s="9" t="s">
        <v>23</v>
      </c>
      <c r="L552" s="6" t="s">
        <v>24</v>
      </c>
      <c r="M552" s="8" t="str">
        <f t="shared" si="144"/>
        <v>https://newsapi.org/v2/everything?domains=smarthistory.org&amp;apiKey=ae2ad3e68d4e4daca149bbfb9b61c010</v>
      </c>
      <c r="N552" s="6">
        <v>0.0</v>
      </c>
      <c r="O552" s="6" t="s">
        <v>25</v>
      </c>
      <c r="P552" s="6"/>
      <c r="Q552" s="6">
        <v>1.0</v>
      </c>
      <c r="R552" s="6" t="s">
        <v>26</v>
      </c>
      <c r="S552" s="6" t="s">
        <v>27</v>
      </c>
      <c r="T552" s="6" t="s">
        <v>67</v>
      </c>
    </row>
    <row r="553">
      <c r="B553" s="6" t="s">
        <v>1297</v>
      </c>
      <c r="C553" s="7" t="str">
        <f t="shared" si="1"/>
        <v/>
      </c>
      <c r="D553" s="7" t="s">
        <v>50</v>
      </c>
      <c r="E553" s="7">
        <v>26.0</v>
      </c>
      <c r="F553" s="7"/>
      <c r="G553" s="8" t="s">
        <v>1298</v>
      </c>
      <c r="H553" s="9" t="str">
        <f t="shared" si="142"/>
        <v>https://www.smashingmagazine.com</v>
      </c>
      <c r="I553" s="9" t="str">
        <f>IFERROR(__xludf.DUMMYFUNCTION("IF(REGEXMATCH(H553,""www""),RIGHT(H553,LEN(H553)-FIND(""."",H553)+0),if(regexmatch(H553,""https://""),right(H553,len(H553)-find(""/"",H553)-1),H553))"),"smashingmagazine.com")</f>
        <v>smashingmagazine.com</v>
      </c>
      <c r="J553" s="9" t="str">
        <f t="shared" si="143"/>
        <v>smashingmagazine.com</v>
      </c>
      <c r="K553" s="9" t="s">
        <v>23</v>
      </c>
      <c r="L553" s="6" t="s">
        <v>176</v>
      </c>
      <c r="M553" s="8" t="str">
        <f t="shared" si="144"/>
        <v>https://newsapi.org/v2/everything?domains=smashingmagazine.com&amp;apiKey=7d4cb29b783f48c8a1837901e959f134</v>
      </c>
      <c r="N553" s="6">
        <v>0.0</v>
      </c>
      <c r="O553" s="6" t="s">
        <v>25</v>
      </c>
      <c r="P553" s="6"/>
      <c r="Q553" s="6">
        <v>1.0</v>
      </c>
      <c r="R553" s="6" t="s">
        <v>26</v>
      </c>
      <c r="S553" s="6" t="s">
        <v>27</v>
      </c>
      <c r="T553" s="6" t="s">
        <v>40</v>
      </c>
    </row>
    <row r="554">
      <c r="B554" s="6" t="s">
        <v>1299</v>
      </c>
      <c r="C554" s="7" t="str">
        <f t="shared" si="1"/>
        <v/>
      </c>
      <c r="D554" s="7" t="s">
        <v>50</v>
      </c>
      <c r="E554" s="7">
        <v>100.0</v>
      </c>
      <c r="F554" s="7"/>
      <c r="G554" s="8" t="s">
        <v>1300</v>
      </c>
      <c r="H554" s="9" t="str">
        <f t="shared" si="142"/>
        <v>https://www.smithsonianmag.com</v>
      </c>
      <c r="I554" s="9" t="str">
        <f>IFERROR(__xludf.DUMMYFUNCTION("IF(REGEXMATCH(H554,""www""),RIGHT(H554,LEN(H554)-FIND(""."",H554)+0),if(regexmatch(H554,""https://""),right(H554,len(H554)-find(""/"",H554)-1),H554))"),"smithsonianmag.com")</f>
        <v>smithsonianmag.com</v>
      </c>
      <c r="J554" s="9" t="str">
        <f t="shared" si="143"/>
        <v>smithsonianmag.com</v>
      </c>
      <c r="K554" s="9" t="s">
        <v>23</v>
      </c>
      <c r="L554" s="6" t="s">
        <v>176</v>
      </c>
      <c r="M554" s="8" t="str">
        <f t="shared" si="144"/>
        <v>https://newsapi.org/v2/everything?domains=smithsonianmag.com&amp;apiKey=7d4cb29b783f48c8a1837901e959f134</v>
      </c>
      <c r="N554" s="6">
        <v>0.0</v>
      </c>
      <c r="O554" s="6" t="s">
        <v>25</v>
      </c>
      <c r="P554" s="6"/>
      <c r="Q554" s="6">
        <v>1.0</v>
      </c>
      <c r="R554" s="6" t="s">
        <v>26</v>
      </c>
      <c r="S554" s="6" t="s">
        <v>27</v>
      </c>
      <c r="T554" s="6" t="s">
        <v>56</v>
      </c>
    </row>
    <row r="555">
      <c r="B555" s="6" t="s">
        <v>1301</v>
      </c>
      <c r="C555" s="7" t="str">
        <f t="shared" si="1"/>
        <v/>
      </c>
      <c r="D555" s="7" t="s">
        <v>30</v>
      </c>
      <c r="E555" s="7"/>
      <c r="F555" s="8" t="s">
        <v>1302</v>
      </c>
      <c r="G555" s="8" t="s">
        <v>1303</v>
      </c>
      <c r="H555" s="9" t="str">
        <f t="shared" si="142"/>
        <v>https://spaceflightnow.com</v>
      </c>
      <c r="I555" s="9" t="str">
        <f>IFERROR(__xludf.DUMMYFUNCTION("IF(REGEXMATCH(H555,""www""),RIGHT(H555,LEN(H555)-FIND(""."",H555)+0),if(regexmatch(H555,""https://""),right(H555,len(H555)-find(""/"",H555)-1),H555))"),"spaceflightnow.com")</f>
        <v>spaceflightnow.com</v>
      </c>
      <c r="J555" s="9" t="str">
        <f t="shared" si="143"/>
        <v>spaceflightnow.com</v>
      </c>
      <c r="K555" s="9" t="s">
        <v>23</v>
      </c>
      <c r="L555" s="6" t="s">
        <v>176</v>
      </c>
      <c r="M555" s="8" t="str">
        <f t="shared" si="144"/>
        <v>https://newsapi.org/v2/everything?domains=spaceflightnow.com&amp;apiKey=7d4cb29b783f48c8a1837901e959f134</v>
      </c>
      <c r="N555" s="6">
        <v>1.0</v>
      </c>
      <c r="O555" s="6" t="s">
        <v>25</v>
      </c>
      <c r="P555" s="6"/>
      <c r="Q555" s="6">
        <v>1.0</v>
      </c>
      <c r="R555" s="6" t="s">
        <v>26</v>
      </c>
      <c r="S555" s="6" t="s">
        <v>27</v>
      </c>
      <c r="T555" s="6" t="s">
        <v>64</v>
      </c>
    </row>
    <row r="556">
      <c r="B556" s="6" t="s">
        <v>1304</v>
      </c>
      <c r="C556" s="7" t="str">
        <f t="shared" si="1"/>
        <v/>
      </c>
      <c r="D556" s="7" t="s">
        <v>50</v>
      </c>
      <c r="E556" s="7">
        <v>6.0</v>
      </c>
      <c r="F556" s="7"/>
      <c r="G556" s="8" t="s">
        <v>1305</v>
      </c>
      <c r="H556" s="9" t="str">
        <f t="shared" si="142"/>
        <v>https://spacenews.com</v>
      </c>
      <c r="I556" s="9" t="str">
        <f>IFERROR(__xludf.DUMMYFUNCTION("IF(REGEXMATCH(H556,""www""),RIGHT(H556,LEN(H556)-FIND(""."",H556)+0),if(regexmatch(H556,""https://""),right(H556,len(H556)-find(""/"",H556)-1),H556))"),"spacenews.com")</f>
        <v>spacenews.com</v>
      </c>
      <c r="J556" s="9" t="str">
        <f t="shared" si="143"/>
        <v>spacenews.com</v>
      </c>
      <c r="K556" s="9" t="s">
        <v>23</v>
      </c>
      <c r="L556" s="6" t="s">
        <v>176</v>
      </c>
      <c r="M556" s="8" t="str">
        <f t="shared" si="144"/>
        <v>https://newsapi.org/v2/everything?domains=spacenews.com&amp;apiKey=7d4cb29b783f48c8a1837901e959f134</v>
      </c>
      <c r="N556" s="6">
        <v>1.0</v>
      </c>
      <c r="O556" s="6" t="s">
        <v>25</v>
      </c>
      <c r="P556" s="6"/>
      <c r="Q556" s="6">
        <v>1.0</v>
      </c>
      <c r="R556" s="6" t="s">
        <v>26</v>
      </c>
      <c r="S556" s="6" t="s">
        <v>27</v>
      </c>
      <c r="T556" s="6" t="s">
        <v>64</v>
      </c>
    </row>
    <row r="557">
      <c r="B557" s="6" t="s">
        <v>1306</v>
      </c>
      <c r="C557" s="7" t="str">
        <f t="shared" si="1"/>
        <v/>
      </c>
      <c r="D557" s="7" t="s">
        <v>50</v>
      </c>
      <c r="E557" s="7">
        <v>4.0</v>
      </c>
      <c r="F557" s="7"/>
      <c r="G557" s="8" t="s">
        <v>1307</v>
      </c>
      <c r="H557" s="9" t="str">
        <f t="shared" si="142"/>
        <v>https://spaceref.com</v>
      </c>
      <c r="I557" s="9" t="str">
        <f>IFERROR(__xludf.DUMMYFUNCTION("IF(REGEXMATCH(H557,""www""),RIGHT(H557,LEN(H557)-FIND(""."",H557)+0),if(regexmatch(H557,""https://""),right(H557,len(H557)-find(""/"",H557)-1),H557))"),"spaceref.com")</f>
        <v>spaceref.com</v>
      </c>
      <c r="J557" s="9" t="str">
        <f t="shared" si="143"/>
        <v>spaceref.com</v>
      </c>
      <c r="K557" s="9" t="s">
        <v>23</v>
      </c>
      <c r="L557" s="6" t="s">
        <v>176</v>
      </c>
      <c r="M557" s="8" t="str">
        <f t="shared" si="144"/>
        <v>https://newsapi.org/v2/everything?domains=spaceref.com&amp;apiKey=7d4cb29b783f48c8a1837901e959f134</v>
      </c>
      <c r="N557" s="6">
        <v>1.0</v>
      </c>
      <c r="O557" s="6" t="s">
        <v>25</v>
      </c>
      <c r="P557" s="6"/>
      <c r="Q557" s="6">
        <v>1.0</v>
      </c>
      <c r="R557" s="6" t="s">
        <v>26</v>
      </c>
      <c r="S557" s="6" t="s">
        <v>27</v>
      </c>
      <c r="T557" s="6" t="s">
        <v>64</v>
      </c>
    </row>
    <row r="558">
      <c r="B558" s="6" t="s">
        <v>1308</v>
      </c>
      <c r="C558" s="7" t="str">
        <f t="shared" si="1"/>
        <v/>
      </c>
      <c r="D558" s="7" t="s">
        <v>50</v>
      </c>
      <c r="E558" s="7">
        <v>31.0</v>
      </c>
      <c r="F558" s="7"/>
      <c r="G558" s="8" t="s">
        <v>1309</v>
      </c>
      <c r="H558" s="9" t="str">
        <f t="shared" si="142"/>
        <v>http://www.speedhunters.com</v>
      </c>
      <c r="I558" s="9" t="str">
        <f>IFERROR(__xludf.DUMMYFUNCTION("IF(REGEXMATCH(H558,""www""),RIGHT(H558,LEN(H558)-FIND(""."",H558)+0),if(regexmatch(H558,""https://""),right(H558,len(H558)-find(""/"",H558)-1),H558))"),"speedhunters.com")</f>
        <v>speedhunters.com</v>
      </c>
      <c r="J558" s="9" t="str">
        <f t="shared" si="143"/>
        <v>speedhunters.com</v>
      </c>
      <c r="K558" s="9" t="s">
        <v>23</v>
      </c>
      <c r="L558" s="6" t="s">
        <v>176</v>
      </c>
      <c r="M558" s="8" t="str">
        <f t="shared" si="144"/>
        <v>https://newsapi.org/v2/everything?domains=speedhunters.com&amp;apiKey=7d4cb29b783f48c8a1837901e959f134</v>
      </c>
      <c r="N558" s="6">
        <v>0.0</v>
      </c>
      <c r="O558" s="6" t="s">
        <v>39</v>
      </c>
      <c r="P558" s="6"/>
      <c r="Q558" s="6">
        <v>1.0</v>
      </c>
      <c r="R558" s="6" t="s">
        <v>26</v>
      </c>
      <c r="S558" s="6" t="s">
        <v>27</v>
      </c>
      <c r="T558" s="6" t="s">
        <v>374</v>
      </c>
    </row>
    <row r="559">
      <c r="B559" s="6" t="s">
        <v>1310</v>
      </c>
      <c r="C559" s="7" t="str">
        <f t="shared" si="1"/>
        <v/>
      </c>
      <c r="D559" s="7" t="s">
        <v>30</v>
      </c>
      <c r="E559" s="7"/>
      <c r="F559" s="8" t="s">
        <v>1311</v>
      </c>
      <c r="G559" s="8" t="s">
        <v>1312</v>
      </c>
      <c r="H559" s="9" t="str">
        <f t="shared" si="142"/>
        <v>https://spotify.design</v>
      </c>
      <c r="I559" s="10" t="str">
        <f>IFERROR(__xludf.DUMMYFUNCTION("IF(REGEXMATCH(H559,""www""),RIGHT(H559,LEN(H559)-FIND(""."",H559)+0),if(regexmatch(H559,""https://""),right(H559,len(H559)-find(""/"",H559)-1),H559))"),"spotify.design")</f>
        <v>spotify.design</v>
      </c>
      <c r="J559" s="10" t="str">
        <f t="shared" si="143"/>
        <v>spotify.design</v>
      </c>
      <c r="K559" s="9" t="s">
        <v>23</v>
      </c>
      <c r="L559" s="6" t="s">
        <v>176</v>
      </c>
      <c r="M559" s="8" t="str">
        <f t="shared" si="144"/>
        <v>https://newsapi.org/v2/everything?domains=spotify.design&amp;apiKey=7d4cb29b783f48c8a1837901e959f134</v>
      </c>
      <c r="N559" s="6">
        <v>0.0</v>
      </c>
      <c r="O559" s="6" t="s">
        <v>39</v>
      </c>
      <c r="P559" s="6"/>
      <c r="Q559" s="6">
        <v>1.0</v>
      </c>
      <c r="R559" s="6" t="s">
        <v>26</v>
      </c>
      <c r="S559" s="6" t="s">
        <v>27</v>
      </c>
      <c r="T559" s="6" t="s">
        <v>40</v>
      </c>
    </row>
    <row r="560">
      <c r="B560" s="6" t="s">
        <v>1313</v>
      </c>
      <c r="C560" s="7" t="str">
        <f t="shared" si="1"/>
        <v/>
      </c>
      <c r="D560" s="7" t="s">
        <v>50</v>
      </c>
      <c r="E560" s="7">
        <v>29.0</v>
      </c>
      <c r="F560" s="7"/>
      <c r="G560" s="11" t="s">
        <v>1314</v>
      </c>
      <c r="H560" s="9" t="str">
        <f t="shared" si="142"/>
        <v>https://stackoverflow.blog</v>
      </c>
      <c r="I560" s="10" t="str">
        <f>IFERROR(__xludf.DUMMYFUNCTION("IF(REGEXMATCH(H560,""www""),RIGHT(H560,LEN(H560)-FIND(""."",H560)+0),if(regexmatch(H560,""https://""),right(H560,len(H560)-find(""/"",H560)-1),H560))"),"stackoverflow.blog")</f>
        <v>stackoverflow.blog</v>
      </c>
      <c r="J560" s="10" t="str">
        <f t="shared" si="143"/>
        <v>stackoverflow.blog</v>
      </c>
      <c r="K560" s="9" t="s">
        <v>23</v>
      </c>
      <c r="L560" s="6" t="s">
        <v>176</v>
      </c>
      <c r="M560" s="8" t="str">
        <f t="shared" si="144"/>
        <v>https://newsapi.org/v2/everything?domains=stackoverflow.blog&amp;apiKey=7d4cb29b783f48c8a1837901e959f134</v>
      </c>
      <c r="N560" s="6">
        <v>0.0</v>
      </c>
      <c r="O560" s="6" t="s">
        <v>39</v>
      </c>
      <c r="P560" s="6"/>
      <c r="Q560" s="6">
        <v>1.0</v>
      </c>
      <c r="R560" s="6" t="s">
        <v>26</v>
      </c>
      <c r="S560" s="6" t="s">
        <v>27</v>
      </c>
      <c r="T560" s="6" t="s">
        <v>76</v>
      </c>
    </row>
    <row r="561">
      <c r="B561" s="6" t="s">
        <v>1315</v>
      </c>
      <c r="C561" s="7" t="str">
        <f t="shared" si="1"/>
        <v>Standford</v>
      </c>
      <c r="D561" s="6" t="s">
        <v>30</v>
      </c>
      <c r="E561" s="7"/>
      <c r="F561" s="8" t="s">
        <v>1316</v>
      </c>
      <c r="G561" s="7"/>
      <c r="H561" s="10"/>
      <c r="I561" s="10"/>
      <c r="J561" s="10"/>
      <c r="K561" s="10"/>
      <c r="L561" s="6"/>
      <c r="M561" s="7"/>
      <c r="N561" s="6">
        <v>0.0</v>
      </c>
      <c r="O561" s="6" t="s">
        <v>25</v>
      </c>
      <c r="P561" s="6"/>
      <c r="Q561" s="6">
        <v>1.0</v>
      </c>
      <c r="R561" s="6" t="s">
        <v>26</v>
      </c>
      <c r="S561" s="6" t="s">
        <v>27</v>
      </c>
      <c r="T561" s="6" t="s">
        <v>67</v>
      </c>
    </row>
    <row r="562">
      <c r="B562" s="6" t="s">
        <v>1317</v>
      </c>
      <c r="C562" s="7" t="str">
        <f t="shared" si="1"/>
        <v>Standford</v>
      </c>
      <c r="D562" s="6" t="s">
        <v>30</v>
      </c>
      <c r="E562" s="7"/>
      <c r="F562" s="8" t="s">
        <v>1318</v>
      </c>
      <c r="G562" s="7"/>
      <c r="H562" s="10"/>
      <c r="I562" s="10"/>
      <c r="J562" s="10"/>
      <c r="K562" s="10"/>
      <c r="L562" s="6"/>
      <c r="M562" s="7"/>
      <c r="N562" s="6">
        <v>0.0</v>
      </c>
      <c r="O562" s="6" t="s">
        <v>25</v>
      </c>
      <c r="P562" s="6"/>
      <c r="Q562" s="6">
        <v>1.0</v>
      </c>
      <c r="R562" s="6" t="s">
        <v>26</v>
      </c>
      <c r="S562" s="6" t="s">
        <v>27</v>
      </c>
      <c r="T562" s="6" t="s">
        <v>48</v>
      </c>
    </row>
    <row r="563">
      <c r="B563" s="6" t="s">
        <v>1319</v>
      </c>
      <c r="C563" s="7" t="str">
        <f t="shared" si="1"/>
        <v>Standford</v>
      </c>
      <c r="D563" s="6" t="s">
        <v>30</v>
      </c>
      <c r="E563" s="7"/>
      <c r="F563" s="8" t="s">
        <v>1320</v>
      </c>
      <c r="G563" s="7"/>
      <c r="H563" s="10"/>
      <c r="I563" s="10"/>
      <c r="J563" s="10"/>
      <c r="K563" s="10"/>
      <c r="L563" s="6"/>
      <c r="M563" s="7"/>
      <c r="N563" s="6">
        <v>0.0</v>
      </c>
      <c r="O563" s="6" t="s">
        <v>25</v>
      </c>
      <c r="P563" s="6"/>
      <c r="Q563" s="6">
        <v>1.0</v>
      </c>
      <c r="R563" s="6" t="s">
        <v>26</v>
      </c>
      <c r="S563" s="6" t="s">
        <v>27</v>
      </c>
      <c r="T563" s="6" t="s">
        <v>56</v>
      </c>
    </row>
    <row r="564">
      <c r="B564" s="6" t="s">
        <v>1321</v>
      </c>
      <c r="C564" s="7" t="str">
        <f t="shared" si="1"/>
        <v>Standford</v>
      </c>
      <c r="D564" s="6" t="s">
        <v>30</v>
      </c>
      <c r="E564" s="7"/>
      <c r="F564" s="8" t="s">
        <v>1322</v>
      </c>
      <c r="G564" s="7"/>
      <c r="H564" s="10"/>
      <c r="I564" s="10"/>
      <c r="J564" s="10"/>
      <c r="K564" s="10"/>
      <c r="L564" s="6"/>
      <c r="M564" s="7"/>
      <c r="N564" s="6">
        <v>0.0</v>
      </c>
      <c r="O564" s="6" t="s">
        <v>25</v>
      </c>
      <c r="P564" s="6"/>
      <c r="Q564" s="6">
        <v>1.0</v>
      </c>
      <c r="R564" s="6" t="s">
        <v>26</v>
      </c>
      <c r="S564" s="6" t="s">
        <v>27</v>
      </c>
      <c r="T564" s="6" t="s">
        <v>101</v>
      </c>
    </row>
    <row r="565">
      <c r="B565" s="6" t="s">
        <v>1323</v>
      </c>
      <c r="C565" s="7" t="str">
        <f t="shared" si="1"/>
        <v>Standford</v>
      </c>
      <c r="D565" s="6" t="s">
        <v>30</v>
      </c>
      <c r="E565" s="7"/>
      <c r="F565" s="8" t="s">
        <v>1324</v>
      </c>
      <c r="G565" s="7"/>
      <c r="H565" s="10"/>
      <c r="I565" s="10"/>
      <c r="J565" s="10"/>
      <c r="K565" s="10"/>
      <c r="L565" s="6"/>
      <c r="M565" s="7"/>
      <c r="N565" s="6">
        <v>0.0</v>
      </c>
      <c r="O565" s="6" t="s">
        <v>25</v>
      </c>
      <c r="P565" s="6"/>
      <c r="Q565" s="6">
        <v>1.0</v>
      </c>
      <c r="R565" s="6" t="s">
        <v>26</v>
      </c>
      <c r="S565" s="6" t="s">
        <v>27</v>
      </c>
      <c r="T565" s="6" t="s">
        <v>131</v>
      </c>
    </row>
    <row r="566">
      <c r="B566" s="6" t="s">
        <v>1325</v>
      </c>
      <c r="C566" s="7" t="str">
        <f t="shared" si="1"/>
        <v/>
      </c>
      <c r="D566" s="7" t="s">
        <v>20</v>
      </c>
      <c r="E566" s="12"/>
      <c r="F566" s="11" t="s">
        <v>1326</v>
      </c>
      <c r="G566" s="11" t="s">
        <v>1327</v>
      </c>
      <c r="H566" s="9" t="str">
        <f t="shared" ref="H566:H568" si="145">LEFT(G566, LEN(G566)-1)</f>
        <v>https://plato.stanford.edu</v>
      </c>
      <c r="I566" s="9" t="str">
        <f>IFERROR(__xludf.DUMMYFUNCTION("IF(REGEXMATCH(H566,""www""),RIGHT(H566,LEN(H566)-FIND(""."",H566)+0),if(regexmatch(H566,""https://""),right(H566,len(H566)-find(""/"",H566)-1),H566))"),"plato.stanford.edu")</f>
        <v>plato.stanford.edu</v>
      </c>
      <c r="J566" s="9" t="str">
        <f t="shared" ref="J566:J568" si="146">I566</f>
        <v>plato.stanford.edu</v>
      </c>
      <c r="K566" s="9" t="s">
        <v>23</v>
      </c>
      <c r="L566" s="6" t="s">
        <v>176</v>
      </c>
      <c r="M566" s="8" t="str">
        <f t="shared" ref="M566:M568" si="147">K566&amp;J566&amp;L566</f>
        <v>https://newsapi.org/v2/everything?domains=plato.stanford.edu&amp;apiKey=7d4cb29b783f48c8a1837901e959f134</v>
      </c>
      <c r="N566" s="6">
        <v>0.0</v>
      </c>
      <c r="O566" s="6" t="s">
        <v>25</v>
      </c>
      <c r="P566" s="6"/>
      <c r="Q566" s="6">
        <v>1.0</v>
      </c>
      <c r="R566" s="6" t="s">
        <v>26</v>
      </c>
      <c r="S566" s="6" t="s">
        <v>27</v>
      </c>
      <c r="T566" s="6" t="s">
        <v>28</v>
      </c>
    </row>
    <row r="567">
      <c r="B567" s="6" t="s">
        <v>1328</v>
      </c>
      <c r="C567" s="7" t="str">
        <f t="shared" si="1"/>
        <v/>
      </c>
      <c r="D567" s="7" t="s">
        <v>20</v>
      </c>
      <c r="E567" s="7"/>
      <c r="F567" s="8" t="s">
        <v>1329</v>
      </c>
      <c r="G567" s="8" t="s">
        <v>1330</v>
      </c>
      <c r="H567" s="9" t="str">
        <f t="shared" si="145"/>
        <v>https://statmodeling.stat.columbia.edu</v>
      </c>
      <c r="I567" s="9" t="str">
        <f>IFERROR(__xludf.DUMMYFUNCTION("IF(REGEXMATCH(H567,""www""),RIGHT(H567,LEN(H567)-FIND(""."",H567)+0),if(regexmatch(H567,""https://""),right(H567,len(H567)-find(""/"",H567)-1),H567))"),"statmodeling.stat.columbia.edu")</f>
        <v>statmodeling.stat.columbia.edu</v>
      </c>
      <c r="J567" s="9" t="str">
        <f t="shared" si="146"/>
        <v>statmodeling.stat.columbia.edu</v>
      </c>
      <c r="K567" s="9" t="s">
        <v>23</v>
      </c>
      <c r="L567" s="6" t="s">
        <v>176</v>
      </c>
      <c r="M567" s="8" t="str">
        <f t="shared" si="147"/>
        <v>https://newsapi.org/v2/everything?domains=statmodeling.stat.columbia.edu&amp;apiKey=7d4cb29b783f48c8a1837901e959f134</v>
      </c>
      <c r="N567" s="6">
        <v>0.0</v>
      </c>
      <c r="O567" s="6" t="s">
        <v>39</v>
      </c>
      <c r="P567" s="6"/>
      <c r="Q567" s="6">
        <v>1.0</v>
      </c>
      <c r="R567" s="6" t="s">
        <v>26</v>
      </c>
      <c r="S567" s="6" t="s">
        <v>27</v>
      </c>
      <c r="T567" s="6" t="s">
        <v>300</v>
      </c>
    </row>
    <row r="568">
      <c r="B568" s="6" t="s">
        <v>1331</v>
      </c>
      <c r="C568" s="7" t="str">
        <f t="shared" si="1"/>
        <v/>
      </c>
      <c r="D568" s="7" t="s">
        <v>20</v>
      </c>
      <c r="F568" s="8" t="s">
        <v>1332</v>
      </c>
      <c r="G568" s="8" t="s">
        <v>1333</v>
      </c>
      <c r="H568" s="9" t="str">
        <f t="shared" si="145"/>
        <v>https://www.fharrell.com</v>
      </c>
      <c r="I568" s="9" t="str">
        <f>IFERROR(__xludf.DUMMYFUNCTION("IF(REGEXMATCH(H568,""www""),RIGHT(H568,LEN(H568)-FIND(""."",H568)+0),if(regexmatch(H568,""https://""),right(H568,len(H568)-find(""/"",H568)-1),H568))"),"fharrell.com")</f>
        <v>fharrell.com</v>
      </c>
      <c r="J568" s="9" t="str">
        <f t="shared" si="146"/>
        <v>fharrell.com</v>
      </c>
      <c r="K568" s="9" t="s">
        <v>23</v>
      </c>
      <c r="L568" s="6" t="s">
        <v>176</v>
      </c>
      <c r="M568" s="8" t="str">
        <f t="shared" si="147"/>
        <v>https://newsapi.org/v2/everything?domains=fharrell.com&amp;apiKey=7d4cb29b783f48c8a1837901e959f134</v>
      </c>
      <c r="N568" s="6">
        <v>0.0</v>
      </c>
      <c r="O568" s="6" t="s">
        <v>39</v>
      </c>
      <c r="P568" s="6"/>
      <c r="Q568" s="6">
        <v>1.0</v>
      </c>
      <c r="R568" s="6" t="s">
        <v>26</v>
      </c>
      <c r="S568" s="6" t="s">
        <v>27</v>
      </c>
      <c r="T568" s="6" t="s">
        <v>300</v>
      </c>
    </row>
    <row r="569">
      <c r="B569" s="6" t="s">
        <v>1334</v>
      </c>
      <c r="C569" s="7" t="str">
        <f t="shared" si="1"/>
        <v/>
      </c>
      <c r="D569" s="7" t="s">
        <v>20</v>
      </c>
      <c r="E569" s="1"/>
      <c r="F569" s="8" t="s">
        <v>1335</v>
      </c>
      <c r="G569" s="1"/>
      <c r="M569" s="1"/>
      <c r="N569" s="6">
        <v>1.0</v>
      </c>
      <c r="O569" s="6" t="s">
        <v>43</v>
      </c>
      <c r="P569" s="6"/>
      <c r="Q569" s="6">
        <v>1.0</v>
      </c>
      <c r="R569" s="6" t="s">
        <v>26</v>
      </c>
      <c r="S569" s="6" t="s">
        <v>27</v>
      </c>
      <c r="T569" s="6" t="s">
        <v>248</v>
      </c>
    </row>
    <row r="570">
      <c r="B570" s="6" t="s">
        <v>1336</v>
      </c>
      <c r="C570" s="7" t="str">
        <f t="shared" si="1"/>
        <v/>
      </c>
      <c r="D570" s="7" t="s">
        <v>20</v>
      </c>
      <c r="E570" s="1"/>
      <c r="F570" s="11" t="s">
        <v>1337</v>
      </c>
      <c r="G570" s="1"/>
      <c r="M570" s="1"/>
      <c r="N570" s="6">
        <v>0.0</v>
      </c>
      <c r="O570" s="6" t="s">
        <v>25</v>
      </c>
      <c r="P570" s="6"/>
      <c r="Q570" s="6">
        <v>1.0</v>
      </c>
      <c r="R570" s="6" t="s">
        <v>26</v>
      </c>
      <c r="S570" s="6" t="s">
        <v>27</v>
      </c>
      <c r="T570" s="6" t="s">
        <v>76</v>
      </c>
    </row>
    <row r="571">
      <c r="B571" s="6" t="s">
        <v>1338</v>
      </c>
      <c r="C571" s="7" t="str">
        <f t="shared" si="1"/>
        <v/>
      </c>
      <c r="D571" s="7" t="s">
        <v>20</v>
      </c>
      <c r="E571" s="7"/>
      <c r="F571" s="8" t="s">
        <v>1339</v>
      </c>
      <c r="G571" s="8" t="s">
        <v>1340</v>
      </c>
      <c r="H571" s="9" t="str">
        <f>LEFT(G571, LEN(G571)-1)</f>
        <v>https://steveblank.com</v>
      </c>
      <c r="I571" s="9" t="str">
        <f>IFERROR(__xludf.DUMMYFUNCTION("IF(REGEXMATCH(H571,""www""),RIGHT(H571,LEN(H571)-FIND(""."",H571)+0),if(regexmatch(H571,""https://""),right(H571,len(H571)-find(""/"",H571)-1),H571))"),"steveblank.com")</f>
        <v>steveblank.com</v>
      </c>
      <c r="J571" s="9" t="str">
        <f>I571</f>
        <v>steveblank.com</v>
      </c>
      <c r="K571" s="9" t="s">
        <v>23</v>
      </c>
      <c r="L571" s="6" t="s">
        <v>176</v>
      </c>
      <c r="M571" s="8" t="str">
        <f>K571&amp;J571&amp;L571</f>
        <v>https://newsapi.org/v2/everything?domains=steveblank.com&amp;apiKey=7d4cb29b783f48c8a1837901e959f134</v>
      </c>
      <c r="N571" s="6">
        <v>0.0</v>
      </c>
      <c r="O571" s="6" t="s">
        <v>39</v>
      </c>
      <c r="P571" s="6"/>
      <c r="Q571" s="6">
        <v>1.0</v>
      </c>
      <c r="R571" s="6" t="s">
        <v>26</v>
      </c>
      <c r="S571" s="6" t="s">
        <v>27</v>
      </c>
      <c r="T571" s="6" t="s">
        <v>48</v>
      </c>
    </row>
    <row r="572">
      <c r="B572" s="6" t="s">
        <v>1341</v>
      </c>
      <c r="C572" s="7" t="str">
        <f t="shared" si="1"/>
        <v>Stirworld</v>
      </c>
      <c r="D572" s="7" t="s">
        <v>30</v>
      </c>
      <c r="E572" s="1"/>
      <c r="F572" s="8" t="s">
        <v>1342</v>
      </c>
      <c r="G572" s="1"/>
      <c r="M572" s="1"/>
      <c r="N572" s="6">
        <v>1.0</v>
      </c>
      <c r="O572" s="6" t="s">
        <v>25</v>
      </c>
      <c r="P572" s="6"/>
      <c r="Q572" s="6">
        <v>1.0</v>
      </c>
      <c r="R572" s="6" t="s">
        <v>26</v>
      </c>
      <c r="S572" s="6" t="s">
        <v>27</v>
      </c>
      <c r="T572" s="6" t="s">
        <v>61</v>
      </c>
    </row>
    <row r="573">
      <c r="B573" s="6" t="s">
        <v>1343</v>
      </c>
      <c r="C573" s="7" t="str">
        <f t="shared" si="1"/>
        <v>Stirworld</v>
      </c>
      <c r="D573" s="7" t="s">
        <v>30</v>
      </c>
      <c r="E573" s="1"/>
      <c r="F573" s="8" t="s">
        <v>1344</v>
      </c>
      <c r="G573" s="1"/>
      <c r="M573" s="1"/>
      <c r="N573" s="6">
        <v>1.0</v>
      </c>
      <c r="O573" s="6" t="s">
        <v>25</v>
      </c>
      <c r="P573" s="6"/>
      <c r="Q573" s="6">
        <v>1.0</v>
      </c>
      <c r="R573" s="6" t="s">
        <v>26</v>
      </c>
      <c r="S573" s="6" t="s">
        <v>27</v>
      </c>
      <c r="T573" s="6" t="s">
        <v>52</v>
      </c>
    </row>
    <row r="574">
      <c r="B574" s="6" t="s">
        <v>1345</v>
      </c>
      <c r="C574" s="7" t="str">
        <f t="shared" si="1"/>
        <v>Stirworld</v>
      </c>
      <c r="D574" s="7" t="s">
        <v>30</v>
      </c>
      <c r="E574" s="1"/>
      <c r="F574" s="8" t="s">
        <v>1346</v>
      </c>
      <c r="G574" s="1"/>
      <c r="M574" s="1"/>
      <c r="N574" s="6">
        <v>1.0</v>
      </c>
      <c r="O574" s="6" t="s">
        <v>25</v>
      </c>
      <c r="P574" s="6"/>
      <c r="Q574" s="6">
        <v>1.0</v>
      </c>
      <c r="R574" s="6" t="s">
        <v>26</v>
      </c>
      <c r="S574" s="6" t="s">
        <v>27</v>
      </c>
      <c r="T574" s="6" t="s">
        <v>67</v>
      </c>
    </row>
    <row r="575">
      <c r="B575" s="6" t="s">
        <v>1347</v>
      </c>
      <c r="C575" s="7" t="str">
        <f t="shared" si="1"/>
        <v/>
      </c>
      <c r="D575" s="7" t="s">
        <v>20</v>
      </c>
      <c r="E575" s="7"/>
      <c r="F575" s="8" t="s">
        <v>1348</v>
      </c>
      <c r="G575" s="8" t="s">
        <v>1349</v>
      </c>
      <c r="H575" s="9" t="str">
        <f t="shared" ref="H575:H577" si="148">LEFT(G575, LEN(G575)-1)</f>
        <v>http://www.strangehistory.net</v>
      </c>
      <c r="I575" s="9" t="str">
        <f>IFERROR(__xludf.DUMMYFUNCTION("IF(REGEXMATCH(H575,""www""),RIGHT(H575,LEN(H575)-FIND(""."",H575)+0),if(regexmatch(H575,""https://""),right(H575,len(H575)-find(""/"",H575)-1),H575))"),"strangehistory.net")</f>
        <v>strangehistory.net</v>
      </c>
      <c r="J575" s="9" t="str">
        <f t="shared" ref="J575:J577" si="149">I575</f>
        <v>strangehistory.net</v>
      </c>
      <c r="K575" s="9" t="s">
        <v>23</v>
      </c>
      <c r="L575" s="6" t="s">
        <v>176</v>
      </c>
      <c r="M575" s="8" t="str">
        <f t="shared" ref="M575:M577" si="150">K575&amp;J575&amp;L575</f>
        <v>https://newsapi.org/v2/everything?domains=strangehistory.net&amp;apiKey=7d4cb29b783f48c8a1837901e959f134</v>
      </c>
      <c r="N575" s="6">
        <v>0.0</v>
      </c>
      <c r="O575" s="6" t="s">
        <v>39</v>
      </c>
      <c r="P575" s="6"/>
      <c r="Q575" s="6">
        <v>1.0</v>
      </c>
      <c r="R575" s="6" t="s">
        <v>26</v>
      </c>
      <c r="S575" s="6" t="s">
        <v>27</v>
      </c>
      <c r="T575" s="6" t="s">
        <v>56</v>
      </c>
    </row>
    <row r="576">
      <c r="B576" s="6" t="s">
        <v>1350</v>
      </c>
      <c r="C576" s="7" t="str">
        <f t="shared" si="1"/>
        <v/>
      </c>
      <c r="D576" s="7" t="s">
        <v>50</v>
      </c>
      <c r="E576" s="7">
        <v>6.0</v>
      </c>
      <c r="F576" s="7"/>
      <c r="G576" s="8" t="s">
        <v>1351</v>
      </c>
      <c r="H576" s="9" t="str">
        <f t="shared" si="148"/>
        <v>https://stratechery.com</v>
      </c>
      <c r="I576" s="9" t="str">
        <f>IFERROR(__xludf.DUMMYFUNCTION("IF(REGEXMATCH(H576,""www""),RIGHT(H576,LEN(H576)-FIND(""."",H576)+0),if(regexmatch(H576,""https://""),right(H576,len(H576)-find(""/"",H576)-1),H576))"),"stratechery.com")</f>
        <v>stratechery.com</v>
      </c>
      <c r="J576" s="9" t="str">
        <f t="shared" si="149"/>
        <v>stratechery.com</v>
      </c>
      <c r="K576" s="9" t="s">
        <v>23</v>
      </c>
      <c r="L576" s="6" t="s">
        <v>24</v>
      </c>
      <c r="M576" s="8" t="str">
        <f t="shared" si="150"/>
        <v>https://newsapi.org/v2/everything?domains=stratechery.com&amp;apiKey=ae2ad3e68d4e4daca149bbfb9b61c010</v>
      </c>
      <c r="N576" s="6">
        <v>1.0</v>
      </c>
      <c r="O576" s="6" t="s">
        <v>25</v>
      </c>
      <c r="P576" s="6"/>
      <c r="Q576" s="6">
        <v>1.0</v>
      </c>
      <c r="R576" s="6" t="s">
        <v>26</v>
      </c>
      <c r="S576" s="6" t="s">
        <v>27</v>
      </c>
      <c r="T576" s="6" t="s">
        <v>76</v>
      </c>
    </row>
    <row r="577">
      <c r="B577" s="6" t="s">
        <v>1352</v>
      </c>
      <c r="C577" s="7" t="str">
        <f t="shared" si="1"/>
        <v/>
      </c>
      <c r="D577" s="7" t="s">
        <v>50</v>
      </c>
      <c r="E577" s="12">
        <v>5.0</v>
      </c>
      <c r="F577" s="12"/>
      <c r="G577" s="11" t="s">
        <v>1353</v>
      </c>
      <c r="H577" s="9" t="str">
        <f t="shared" si="148"/>
        <v>https://stripe.com</v>
      </c>
      <c r="I577" s="9" t="str">
        <f>IFERROR(__xludf.DUMMYFUNCTION("IF(REGEXMATCH(H577,""www""),RIGHT(H577,LEN(H577)-FIND(""."",H577)+0),if(regexmatch(H577,""https://""),right(H577,len(H577)-find(""/"",H577)-1),H577))"),"stripe.com")</f>
        <v>stripe.com</v>
      </c>
      <c r="J577" s="9" t="str">
        <f t="shared" si="149"/>
        <v>stripe.com</v>
      </c>
      <c r="K577" s="9" t="s">
        <v>23</v>
      </c>
      <c r="L577" s="6" t="s">
        <v>176</v>
      </c>
      <c r="M577" s="8" t="str">
        <f t="shared" si="150"/>
        <v>https://newsapi.org/v2/everything?domains=stripe.com&amp;apiKey=7d4cb29b783f48c8a1837901e959f134</v>
      </c>
      <c r="N577" s="6">
        <v>0.0</v>
      </c>
      <c r="O577" s="6" t="s">
        <v>39</v>
      </c>
      <c r="P577" s="6"/>
      <c r="Q577" s="6">
        <v>1.0</v>
      </c>
      <c r="R577" s="6" t="s">
        <v>26</v>
      </c>
      <c r="S577" s="6" t="s">
        <v>27</v>
      </c>
      <c r="T577" s="6" t="s">
        <v>76</v>
      </c>
    </row>
    <row r="578">
      <c r="B578" s="6" t="s">
        <v>1354</v>
      </c>
      <c r="C578" s="7" t="str">
        <f t="shared" si="1"/>
        <v/>
      </c>
      <c r="D578" s="16" t="s">
        <v>20</v>
      </c>
      <c r="E578" s="12"/>
      <c r="F578" s="11" t="s">
        <v>1355</v>
      </c>
      <c r="G578" s="7"/>
      <c r="M578" s="1"/>
      <c r="N578" s="6">
        <v>0.0</v>
      </c>
      <c r="O578" s="6" t="s">
        <v>43</v>
      </c>
      <c r="P578" s="6"/>
      <c r="Q578" s="6">
        <v>1.0</v>
      </c>
      <c r="R578" s="6" t="s">
        <v>26</v>
      </c>
      <c r="S578" s="6" t="s">
        <v>27</v>
      </c>
      <c r="T578" s="6" t="s">
        <v>85</v>
      </c>
    </row>
    <row r="579">
      <c r="B579" s="6" t="s">
        <v>1356</v>
      </c>
      <c r="C579" s="7" t="str">
        <f t="shared" si="1"/>
        <v/>
      </c>
      <c r="D579" s="7" t="s">
        <v>50</v>
      </c>
      <c r="E579" s="7">
        <v>100.0</v>
      </c>
      <c r="F579" s="7"/>
      <c r="G579" s="8" t="s">
        <v>1357</v>
      </c>
      <c r="H579" s="9" t="str">
        <f t="shared" ref="H579:H580" si="151">LEFT(G579, LEN(G579)-1)</f>
        <v>https://techcrunch.com</v>
      </c>
      <c r="I579" s="9" t="str">
        <f>IFERROR(__xludf.DUMMYFUNCTION("IF(REGEXMATCH(H579,""www""),RIGHT(H579,LEN(H579)-FIND(""."",H579)+0),if(regexmatch(H579,""https://""),right(H579,len(H579)-find(""/"",H579)-1),H579))"),"techcrunch.com")</f>
        <v>techcrunch.com</v>
      </c>
      <c r="J579" s="9" t="str">
        <f t="shared" ref="J579:J580" si="152">I579</f>
        <v>techcrunch.com</v>
      </c>
      <c r="K579" s="9" t="s">
        <v>23</v>
      </c>
      <c r="L579" s="6" t="s">
        <v>24</v>
      </c>
      <c r="M579" s="8" t="str">
        <f t="shared" ref="M579:M580" si="153">K579&amp;J579&amp;L579</f>
        <v>https://newsapi.org/v2/everything?domains=techcrunch.com&amp;apiKey=ae2ad3e68d4e4daca149bbfb9b61c010</v>
      </c>
      <c r="N579" s="6">
        <v>1.0</v>
      </c>
      <c r="O579" s="6" t="s">
        <v>25</v>
      </c>
      <c r="P579" s="6"/>
      <c r="Q579" s="6">
        <v>1.0</v>
      </c>
      <c r="R579" s="6" t="s">
        <v>26</v>
      </c>
      <c r="S579" s="6" t="s">
        <v>27</v>
      </c>
      <c r="T579" s="6" t="s">
        <v>76</v>
      </c>
    </row>
    <row r="580">
      <c r="B580" s="6" t="s">
        <v>1358</v>
      </c>
      <c r="C580" s="7" t="str">
        <f t="shared" si="1"/>
        <v/>
      </c>
      <c r="D580" s="7" t="s">
        <v>50</v>
      </c>
      <c r="E580" s="7">
        <v>100.0</v>
      </c>
      <c r="F580" s="7"/>
      <c r="G580" s="8" t="s">
        <v>1359</v>
      </c>
      <c r="H580" s="9" t="str">
        <f t="shared" si="151"/>
        <v>https://www.techspot.com</v>
      </c>
      <c r="I580" s="9" t="str">
        <f>IFERROR(__xludf.DUMMYFUNCTION("IF(REGEXMATCH(H580,""www""),RIGHT(H580,LEN(H580)-FIND(""."",H580)+0),if(regexmatch(H580,""https://""),right(H580,len(H580)-find(""/"",H580)-1),H580))"),"techspot.com")</f>
        <v>techspot.com</v>
      </c>
      <c r="J580" s="9" t="str">
        <f t="shared" si="152"/>
        <v>techspot.com</v>
      </c>
      <c r="K580" s="9" t="s">
        <v>23</v>
      </c>
      <c r="L580" s="6" t="s">
        <v>176</v>
      </c>
      <c r="M580" s="8" t="str">
        <f t="shared" si="153"/>
        <v>https://newsapi.org/v2/everything?domains=techspot.com&amp;apiKey=7d4cb29b783f48c8a1837901e959f134</v>
      </c>
      <c r="N580" s="6">
        <v>1.0</v>
      </c>
      <c r="O580" s="6" t="s">
        <v>25</v>
      </c>
      <c r="P580" s="6"/>
      <c r="Q580" s="6">
        <v>1.0</v>
      </c>
      <c r="R580" s="6" t="s">
        <v>26</v>
      </c>
      <c r="S580" s="6" t="s">
        <v>27</v>
      </c>
      <c r="T580" s="6" t="s">
        <v>76</v>
      </c>
    </row>
    <row r="581">
      <c r="B581" s="6" t="s">
        <v>1360</v>
      </c>
      <c r="C581" s="7" t="str">
        <f t="shared" si="1"/>
        <v/>
      </c>
      <c r="D581" s="16" t="s">
        <v>20</v>
      </c>
      <c r="E581" s="7"/>
      <c r="F581" s="8" t="s">
        <v>1361</v>
      </c>
      <c r="G581" s="1"/>
      <c r="M581" s="1"/>
      <c r="N581" s="13">
        <v>0.0</v>
      </c>
      <c r="O581" s="6" t="s">
        <v>43</v>
      </c>
      <c r="P581" s="14"/>
      <c r="Q581" s="15">
        <v>1.0</v>
      </c>
      <c r="R581" s="6" t="s">
        <v>26</v>
      </c>
      <c r="S581" s="14" t="s">
        <v>27</v>
      </c>
      <c r="T581" s="16" t="s">
        <v>32</v>
      </c>
    </row>
    <row r="582">
      <c r="B582" s="6" t="s">
        <v>1362</v>
      </c>
      <c r="C582" s="7" t="str">
        <f t="shared" si="1"/>
        <v/>
      </c>
      <c r="D582" s="7" t="s">
        <v>20</v>
      </c>
      <c r="E582" s="7"/>
      <c r="F582" s="8" t="s">
        <v>1363</v>
      </c>
      <c r="G582" s="8" t="s">
        <v>1364</v>
      </c>
      <c r="H582" s="9" t="str">
        <f t="shared" ref="H582:H583" si="154">LEFT(G582, LEN(G582)-1)</f>
        <v>https://terribleminds.com</v>
      </c>
      <c r="I582" s="9" t="str">
        <f>IFERROR(__xludf.DUMMYFUNCTION("IF(REGEXMATCH(H582,""www""),RIGHT(H582,LEN(H582)-FIND(""."",H582)+0),if(regexmatch(H582,""https://""),right(H582,len(H582)-find(""/"",H582)-1),H582))"),"terribleminds.com")</f>
        <v>terribleminds.com</v>
      </c>
      <c r="J582" s="9" t="str">
        <f t="shared" ref="J582:J583" si="155">I582</f>
        <v>terribleminds.com</v>
      </c>
      <c r="K582" s="9" t="s">
        <v>23</v>
      </c>
      <c r="L582" s="6" t="s">
        <v>176</v>
      </c>
      <c r="M582" s="8" t="str">
        <f t="shared" ref="M582:M583" si="156">K582&amp;J582&amp;L582</f>
        <v>https://newsapi.org/v2/everything?domains=terribleminds.com&amp;apiKey=7d4cb29b783f48c8a1837901e959f134</v>
      </c>
      <c r="N582" s="6">
        <v>0.0</v>
      </c>
      <c r="O582" s="6" t="s">
        <v>39</v>
      </c>
      <c r="P582" s="6"/>
      <c r="Q582" s="6">
        <v>1.0</v>
      </c>
      <c r="R582" s="6" t="s">
        <v>26</v>
      </c>
      <c r="S582" s="6" t="s">
        <v>27</v>
      </c>
      <c r="T582" s="6" t="s">
        <v>329</v>
      </c>
    </row>
    <row r="583">
      <c r="B583" s="6" t="s">
        <v>1365</v>
      </c>
      <c r="C583" s="7" t="str">
        <f t="shared" si="1"/>
        <v/>
      </c>
      <c r="D583" s="7" t="s">
        <v>30</v>
      </c>
      <c r="E583" s="7"/>
      <c r="F583" s="8" t="s">
        <v>1366</v>
      </c>
      <c r="G583" s="8" t="s">
        <v>1367</v>
      </c>
      <c r="H583" s="9" t="str">
        <f t="shared" si="154"/>
        <v>https://tflcar.com</v>
      </c>
      <c r="I583" s="9" t="str">
        <f>IFERROR(__xludf.DUMMYFUNCTION("IF(REGEXMATCH(H583,""www""),RIGHT(H583,LEN(H583)-FIND(""."",H583)+0),if(regexmatch(H583,""https://""),right(H583,len(H583)-find(""/"",H583)-1),H583))"),"tflcar.com")</f>
        <v>tflcar.com</v>
      </c>
      <c r="J583" s="9" t="str">
        <f t="shared" si="155"/>
        <v>tflcar.com</v>
      </c>
      <c r="K583" s="9" t="s">
        <v>23</v>
      </c>
      <c r="L583" s="6" t="s">
        <v>24</v>
      </c>
      <c r="M583" s="8" t="str">
        <f t="shared" si="156"/>
        <v>https://newsapi.org/v2/everything?domains=tflcar.com&amp;apiKey=ae2ad3e68d4e4daca149bbfb9b61c010</v>
      </c>
      <c r="N583" s="6">
        <v>1.0</v>
      </c>
      <c r="O583" s="6" t="s">
        <v>25</v>
      </c>
      <c r="P583" s="6"/>
      <c r="Q583" s="6">
        <v>1.0</v>
      </c>
      <c r="R583" s="6" t="s">
        <v>26</v>
      </c>
      <c r="S583" s="6" t="s">
        <v>27</v>
      </c>
      <c r="T583" s="6" t="s">
        <v>374</v>
      </c>
    </row>
    <row r="584">
      <c r="B584" s="6" t="s">
        <v>1368</v>
      </c>
      <c r="C584" s="7" t="str">
        <f t="shared" si="1"/>
        <v/>
      </c>
      <c r="D584" s="7" t="s">
        <v>20</v>
      </c>
      <c r="E584" s="1"/>
      <c r="F584" s="11" t="s">
        <v>1369</v>
      </c>
      <c r="G584" s="1"/>
      <c r="M584" s="1"/>
      <c r="N584" s="6">
        <v>0.0</v>
      </c>
      <c r="O584" s="6" t="s">
        <v>43</v>
      </c>
      <c r="P584" s="6"/>
      <c r="Q584" s="6">
        <v>1.0</v>
      </c>
      <c r="R584" s="6" t="s">
        <v>26</v>
      </c>
      <c r="S584" s="6" t="s">
        <v>27</v>
      </c>
      <c r="T584" s="6" t="s">
        <v>40</v>
      </c>
    </row>
    <row r="585">
      <c r="B585" s="6" t="s">
        <v>1370</v>
      </c>
      <c r="C585" s="7" t="str">
        <f t="shared" si="1"/>
        <v/>
      </c>
      <c r="D585" s="7" t="s">
        <v>50</v>
      </c>
      <c r="E585" s="7">
        <v>100.0</v>
      </c>
      <c r="F585" s="1"/>
      <c r="G585" s="8" t="s">
        <v>1371</v>
      </c>
      <c r="H585" s="9" t="str">
        <f>LEFT(G585, LEN(G585)-1)</f>
        <v>https://www.theatlantic.com</v>
      </c>
      <c r="I585" s="9" t="str">
        <f>IFERROR(__xludf.DUMMYFUNCTION("IF(REGEXMATCH(H585,""www""),RIGHT(H585,LEN(H585)-FIND(""."",H585)+0),if(regexmatch(H585,""https://""),right(H585,len(H585)-find(""/"",H585)-1),H585))"),"theatlantic.com")</f>
        <v>theatlantic.com</v>
      </c>
      <c r="J585" s="9" t="str">
        <f>I585</f>
        <v>theatlantic.com</v>
      </c>
      <c r="K585" s="9" t="s">
        <v>23</v>
      </c>
      <c r="L585" s="6" t="s">
        <v>24</v>
      </c>
      <c r="M585" s="8" t="str">
        <f>K585&amp;J585&amp;L585</f>
        <v>https://newsapi.org/v2/everything?domains=theatlantic.com&amp;apiKey=ae2ad3e68d4e4daca149bbfb9b61c010</v>
      </c>
      <c r="N585" s="6">
        <v>1.0</v>
      </c>
      <c r="O585" s="6" t="s">
        <v>25</v>
      </c>
      <c r="P585" s="6">
        <v>1.0</v>
      </c>
      <c r="Q585" s="6">
        <v>1.0</v>
      </c>
      <c r="R585" s="6" t="s">
        <v>26</v>
      </c>
      <c r="S585" s="6" t="s">
        <v>27</v>
      </c>
      <c r="T585" s="6" t="s">
        <v>223</v>
      </c>
    </row>
    <row r="586">
      <c r="B586" s="6" t="s">
        <v>1372</v>
      </c>
      <c r="C586" s="7" t="str">
        <f t="shared" si="1"/>
        <v/>
      </c>
      <c r="D586" s="7" t="s">
        <v>30</v>
      </c>
      <c r="E586" s="1"/>
      <c r="F586" s="8" t="s">
        <v>1373</v>
      </c>
      <c r="G586" s="1"/>
      <c r="M586" s="1"/>
      <c r="N586" s="6">
        <v>0.0</v>
      </c>
      <c r="O586" s="6" t="s">
        <v>25</v>
      </c>
      <c r="P586" s="6"/>
      <c r="Q586" s="6">
        <v>1.0</v>
      </c>
      <c r="R586" s="6" t="s">
        <v>26</v>
      </c>
      <c r="S586" s="6" t="s">
        <v>27</v>
      </c>
      <c r="T586" s="6" t="s">
        <v>52</v>
      </c>
    </row>
    <row r="587">
      <c r="B587" s="6" t="s">
        <v>1374</v>
      </c>
      <c r="C587" s="7" t="str">
        <f t="shared" si="1"/>
        <v/>
      </c>
      <c r="D587" s="7" t="s">
        <v>20</v>
      </c>
      <c r="E587" s="1"/>
      <c r="F587" s="8" t="s">
        <v>1375</v>
      </c>
      <c r="G587" s="1"/>
      <c r="M587" s="1"/>
      <c r="N587" s="6">
        <v>0.0</v>
      </c>
      <c r="O587" s="6" t="s">
        <v>25</v>
      </c>
      <c r="P587" s="6"/>
      <c r="Q587" s="6">
        <v>1.0</v>
      </c>
      <c r="R587" s="6" t="s">
        <v>26</v>
      </c>
      <c r="S587" s="6" t="s">
        <v>27</v>
      </c>
      <c r="T587" s="6" t="s">
        <v>85</v>
      </c>
    </row>
    <row r="588">
      <c r="B588" s="6" t="s">
        <v>1376</v>
      </c>
      <c r="C588" s="7" t="str">
        <f t="shared" si="1"/>
        <v/>
      </c>
      <c r="D588" s="7" t="s">
        <v>20</v>
      </c>
      <c r="E588" s="7"/>
      <c r="F588" s="8" t="s">
        <v>1377</v>
      </c>
      <c r="G588" s="8" t="s">
        <v>1378</v>
      </c>
      <c r="H588" s="9" t="str">
        <f>LEFT(G588, LEN(G588)-1)</f>
        <v>https://thecinemaarchives.com</v>
      </c>
      <c r="I588" s="9" t="str">
        <f>IFERROR(__xludf.DUMMYFUNCTION("IF(REGEXMATCH(H588,""www""),RIGHT(H588,LEN(H588)-FIND(""."",H588)+0),if(regexmatch(H588,""https://""),right(H588,len(H588)-find(""/"",H588)-1),H588))"),"thecinemaarchives.com")</f>
        <v>thecinemaarchives.com</v>
      </c>
      <c r="J588" s="9" t="str">
        <f>I588</f>
        <v>thecinemaarchives.com</v>
      </c>
      <c r="K588" s="9" t="s">
        <v>23</v>
      </c>
      <c r="L588" s="6" t="s">
        <v>176</v>
      </c>
      <c r="M588" s="8" t="str">
        <f t="shared" ref="M588:M589" si="157">K588&amp;J588&amp;L588</f>
        <v>https://newsapi.org/v2/everything?domains=thecinemaarchives.com&amp;apiKey=7d4cb29b783f48c8a1837901e959f134</v>
      </c>
      <c r="N588" s="6">
        <v>0.0</v>
      </c>
      <c r="O588" s="6" t="s">
        <v>39</v>
      </c>
      <c r="P588" s="6"/>
      <c r="Q588" s="6">
        <v>1.0</v>
      </c>
      <c r="R588" s="6" t="s">
        <v>26</v>
      </c>
      <c r="S588" s="6" t="s">
        <v>27</v>
      </c>
      <c r="T588" s="6" t="s">
        <v>90</v>
      </c>
    </row>
    <row r="589">
      <c r="B589" s="6" t="s">
        <v>1379</v>
      </c>
      <c r="C589" s="7" t="str">
        <f t="shared" si="1"/>
        <v>The Conversation</v>
      </c>
      <c r="D589" s="12" t="s">
        <v>20</v>
      </c>
      <c r="E589" s="12"/>
      <c r="F589" s="11" t="s">
        <v>1380</v>
      </c>
      <c r="G589" s="12"/>
      <c r="H589" s="10"/>
      <c r="I589" s="10"/>
      <c r="J589" s="10"/>
      <c r="K589" s="9" t="s">
        <v>23</v>
      </c>
      <c r="L589" s="6" t="s">
        <v>24</v>
      </c>
      <c r="M589" s="8" t="str">
        <f t="shared" si="157"/>
        <v>https://newsapi.org/v2/everything?domains=&amp;apiKey=ae2ad3e68d4e4daca149bbfb9b61c010</v>
      </c>
      <c r="N589" s="6">
        <v>1.0</v>
      </c>
      <c r="O589" s="6" t="s">
        <v>25</v>
      </c>
      <c r="P589" s="6"/>
      <c r="Q589" s="6">
        <v>1.0</v>
      </c>
      <c r="R589" s="6" t="s">
        <v>26</v>
      </c>
      <c r="S589" s="6" t="s">
        <v>27</v>
      </c>
      <c r="T589" s="6" t="s">
        <v>67</v>
      </c>
    </row>
    <row r="590">
      <c r="B590" s="6" t="s">
        <v>1381</v>
      </c>
      <c r="C590" s="7" t="str">
        <f t="shared" si="1"/>
        <v>The Conversation</v>
      </c>
      <c r="D590" s="12" t="s">
        <v>20</v>
      </c>
      <c r="E590" s="12"/>
      <c r="F590" s="11" t="s">
        <v>1382</v>
      </c>
      <c r="G590" s="12"/>
      <c r="H590" s="10"/>
      <c r="I590" s="10"/>
      <c r="J590" s="10"/>
      <c r="K590" s="10"/>
      <c r="L590" s="6"/>
      <c r="M590" s="7"/>
      <c r="N590" s="6">
        <v>1.0</v>
      </c>
      <c r="O590" s="6" t="s">
        <v>25</v>
      </c>
      <c r="P590" s="6"/>
      <c r="Q590" s="6">
        <v>1.0</v>
      </c>
      <c r="R590" s="6" t="s">
        <v>26</v>
      </c>
      <c r="S590" s="6" t="s">
        <v>27</v>
      </c>
      <c r="T590" s="6" t="s">
        <v>248</v>
      </c>
    </row>
    <row r="591">
      <c r="B591" s="6" t="s">
        <v>1383</v>
      </c>
      <c r="C591" s="7" t="str">
        <f t="shared" si="1"/>
        <v>The Conversation</v>
      </c>
      <c r="D591" s="12" t="s">
        <v>20</v>
      </c>
      <c r="E591" s="12"/>
      <c r="F591" s="11" t="s">
        <v>1384</v>
      </c>
      <c r="G591" s="12"/>
      <c r="H591" s="10"/>
      <c r="I591" s="10"/>
      <c r="J591" s="10"/>
      <c r="K591" s="10"/>
      <c r="L591" s="6"/>
      <c r="M591" s="7"/>
      <c r="N591" s="6">
        <v>1.0</v>
      </c>
      <c r="O591" s="6" t="s">
        <v>25</v>
      </c>
      <c r="P591" s="6"/>
      <c r="Q591" s="6">
        <v>1.0</v>
      </c>
      <c r="R591" s="6" t="s">
        <v>26</v>
      </c>
      <c r="S591" s="6" t="s">
        <v>27</v>
      </c>
      <c r="T591" s="6" t="s">
        <v>85</v>
      </c>
    </row>
    <row r="592">
      <c r="B592" s="6" t="s">
        <v>1385</v>
      </c>
      <c r="C592" s="7" t="str">
        <f t="shared" si="1"/>
        <v>The Conversation</v>
      </c>
      <c r="D592" s="12" t="s">
        <v>20</v>
      </c>
      <c r="E592" s="12"/>
      <c r="F592" s="11" t="s">
        <v>1386</v>
      </c>
      <c r="G592" s="12"/>
      <c r="H592" s="10"/>
      <c r="I592" s="10"/>
      <c r="J592" s="10"/>
      <c r="K592" s="10"/>
      <c r="L592" s="6"/>
      <c r="M592" s="7"/>
      <c r="N592" s="6">
        <v>1.0</v>
      </c>
      <c r="O592" s="6" t="s">
        <v>25</v>
      </c>
      <c r="P592" s="6"/>
      <c r="Q592" s="6">
        <v>1.0</v>
      </c>
      <c r="R592" s="6" t="s">
        <v>26</v>
      </c>
      <c r="S592" s="6" t="s">
        <v>27</v>
      </c>
      <c r="T592" s="6" t="s">
        <v>241</v>
      </c>
    </row>
    <row r="593">
      <c r="B593" s="6" t="s">
        <v>1387</v>
      </c>
      <c r="C593" s="7" t="str">
        <f t="shared" si="1"/>
        <v>The Conversation</v>
      </c>
      <c r="D593" s="12" t="s">
        <v>20</v>
      </c>
      <c r="E593" s="12"/>
      <c r="F593" s="11" t="s">
        <v>1388</v>
      </c>
      <c r="G593" s="12"/>
      <c r="H593" s="10"/>
      <c r="I593" s="10"/>
      <c r="J593" s="10"/>
      <c r="K593" s="10"/>
      <c r="L593" s="6"/>
      <c r="M593" s="7"/>
      <c r="N593" s="6">
        <v>1.0</v>
      </c>
      <c r="O593" s="6" t="s">
        <v>25</v>
      </c>
      <c r="P593" s="6"/>
      <c r="Q593" s="6">
        <v>1.0</v>
      </c>
      <c r="R593" s="6" t="s">
        <v>26</v>
      </c>
      <c r="S593" s="6" t="s">
        <v>27</v>
      </c>
      <c r="T593" s="6" t="s">
        <v>101</v>
      </c>
    </row>
    <row r="594">
      <c r="B594" s="6" t="s">
        <v>1389</v>
      </c>
      <c r="C594" s="7" t="str">
        <f t="shared" si="1"/>
        <v>The Conversation</v>
      </c>
      <c r="D594" s="12" t="s">
        <v>20</v>
      </c>
      <c r="E594" s="12"/>
      <c r="F594" s="11" t="s">
        <v>1390</v>
      </c>
      <c r="G594" s="12"/>
      <c r="H594" s="10"/>
      <c r="I594" s="10"/>
      <c r="J594" s="10"/>
      <c r="K594" s="10"/>
      <c r="L594" s="6"/>
      <c r="M594" s="7"/>
      <c r="N594" s="6">
        <v>1.0</v>
      </c>
      <c r="O594" s="6" t="s">
        <v>25</v>
      </c>
      <c r="P594" s="6"/>
      <c r="Q594" s="6">
        <v>1.0</v>
      </c>
      <c r="R594" s="6" t="s">
        <v>26</v>
      </c>
      <c r="S594" s="6" t="s">
        <v>27</v>
      </c>
      <c r="T594" s="6" t="s">
        <v>131</v>
      </c>
    </row>
    <row r="595">
      <c r="B595" s="6" t="s">
        <v>1391</v>
      </c>
      <c r="C595" s="7" t="str">
        <f t="shared" si="1"/>
        <v/>
      </c>
      <c r="D595" s="7" t="s">
        <v>30</v>
      </c>
      <c r="E595" s="12"/>
      <c r="F595" s="11" t="s">
        <v>1392</v>
      </c>
      <c r="G595" s="11" t="s">
        <v>1393</v>
      </c>
      <c r="H595" s="9" t="str">
        <f t="shared" ref="H595:H596" si="158">LEFT(G595, LEN(G595)-1)</f>
        <v>https://www.criterion.com</v>
      </c>
      <c r="I595" s="9" t="str">
        <f>IFERROR(__xludf.DUMMYFUNCTION("IF(REGEXMATCH(H595,""www""),RIGHT(H595,LEN(H595)-FIND(""."",H595)+0),if(regexmatch(H595,""https://""),right(H595,len(H595)-find(""/"",H595)-1),H595))"),"criterion.com")</f>
        <v>criterion.com</v>
      </c>
      <c r="J595" s="9" t="str">
        <f t="shared" ref="J595:J596" si="159">I595</f>
        <v>criterion.com</v>
      </c>
      <c r="K595" s="9" t="s">
        <v>23</v>
      </c>
      <c r="L595" s="6" t="s">
        <v>176</v>
      </c>
      <c r="M595" s="8" t="str">
        <f t="shared" ref="M595:M596" si="160">K595&amp;J595&amp;L595</f>
        <v>https://newsapi.org/v2/everything?domains=criterion.com&amp;apiKey=7d4cb29b783f48c8a1837901e959f134</v>
      </c>
      <c r="N595" s="6">
        <v>0.0</v>
      </c>
      <c r="O595" s="6" t="s">
        <v>25</v>
      </c>
      <c r="P595" s="6"/>
      <c r="Q595" s="6">
        <v>1.0</v>
      </c>
      <c r="R595" s="6" t="s">
        <v>26</v>
      </c>
      <c r="S595" s="6" t="s">
        <v>27</v>
      </c>
      <c r="T595" s="6" t="s">
        <v>90</v>
      </c>
    </row>
    <row r="596">
      <c r="B596" s="6" t="s">
        <v>1394</v>
      </c>
      <c r="C596" s="7" t="str">
        <f t="shared" si="1"/>
        <v/>
      </c>
      <c r="D596" s="7" t="s">
        <v>50</v>
      </c>
      <c r="E596" s="7">
        <v>24.0</v>
      </c>
      <c r="F596" s="7"/>
      <c r="G596" s="8" t="s">
        <v>1395</v>
      </c>
      <c r="H596" s="9" t="str">
        <f t="shared" si="158"/>
        <v>https://thedailywtf.com</v>
      </c>
      <c r="I596" s="9" t="str">
        <f>IFERROR(__xludf.DUMMYFUNCTION("IF(REGEXMATCH(H596,""www""),RIGHT(H596,LEN(H596)-FIND(""."",H596)+0),if(regexmatch(H596,""https://""),right(H596,len(H596)-find(""/"",H596)-1),H596))"),"thedailywtf.com")</f>
        <v>thedailywtf.com</v>
      </c>
      <c r="J596" s="9" t="str">
        <f t="shared" si="159"/>
        <v>thedailywtf.com</v>
      </c>
      <c r="K596" s="9" t="s">
        <v>23</v>
      </c>
      <c r="L596" s="6" t="s">
        <v>176</v>
      </c>
      <c r="M596" s="8" t="str">
        <f t="shared" si="160"/>
        <v>https://newsapi.org/v2/everything?domains=thedailywtf.com&amp;apiKey=7d4cb29b783f48c8a1837901e959f134</v>
      </c>
      <c r="N596" s="6">
        <v>0.0</v>
      </c>
      <c r="O596" s="6" t="s">
        <v>25</v>
      </c>
      <c r="P596" s="6"/>
      <c r="Q596" s="6">
        <v>1.0</v>
      </c>
      <c r="R596" s="6" t="s">
        <v>26</v>
      </c>
      <c r="S596" s="6" t="s">
        <v>27</v>
      </c>
      <c r="T596" s="6" t="s">
        <v>145</v>
      </c>
    </row>
    <row r="597">
      <c r="B597" s="6" t="s">
        <v>1396</v>
      </c>
      <c r="C597" s="7" t="str">
        <f t="shared" si="1"/>
        <v/>
      </c>
      <c r="D597" s="7" t="s">
        <v>20</v>
      </c>
      <c r="E597" s="1"/>
      <c r="F597" s="11" t="s">
        <v>1397</v>
      </c>
      <c r="G597" s="1"/>
      <c r="M597" s="1"/>
      <c r="N597" s="6">
        <v>0.0</v>
      </c>
      <c r="O597" s="6" t="s">
        <v>43</v>
      </c>
      <c r="P597" s="6"/>
      <c r="Q597" s="6">
        <v>1.0</v>
      </c>
      <c r="R597" s="6" t="s">
        <v>26</v>
      </c>
      <c r="S597" s="6" t="s">
        <v>27</v>
      </c>
      <c r="T597" s="6" t="s">
        <v>44</v>
      </c>
    </row>
    <row r="598">
      <c r="B598" s="6" t="s">
        <v>1398</v>
      </c>
      <c r="C598" s="7" t="str">
        <f t="shared" si="1"/>
        <v/>
      </c>
      <c r="D598" s="7" t="s">
        <v>20</v>
      </c>
      <c r="E598" s="7"/>
      <c r="F598" s="8" t="s">
        <v>523</v>
      </c>
      <c r="G598" s="8" t="s">
        <v>1399</v>
      </c>
      <c r="H598" s="9" t="str">
        <f t="shared" ref="H598:H600" si="161">LEFT(G598, LEN(G598)-1)</f>
        <v>https://thedieline.com/</v>
      </c>
      <c r="I598" s="9" t="str">
        <f>IFERROR(__xludf.DUMMYFUNCTION("IF(REGEXMATCH(H598,""www""),RIGHT(H598,LEN(H598)-FIND(""."",H598)+0),if(regexmatch(H598,""https://""),right(H598,len(H598)-find(""/"",H598)-1),H598))"),"thedieline.com/")</f>
        <v>thedieline.com/</v>
      </c>
      <c r="J598" s="9" t="str">
        <f t="shared" ref="J598:J600" si="162">I598</f>
        <v>thedieline.com/</v>
      </c>
      <c r="K598" s="9" t="s">
        <v>23</v>
      </c>
      <c r="L598" s="6" t="s">
        <v>176</v>
      </c>
      <c r="M598" s="8" t="str">
        <f t="shared" ref="M598:M600" si="163">K598&amp;J598&amp;L598</f>
        <v>https://newsapi.org/v2/everything?domains=thedieline.com/&amp;apiKey=7d4cb29b783f48c8a1837901e959f134</v>
      </c>
      <c r="N598" s="6">
        <v>1.0</v>
      </c>
      <c r="O598" s="6" t="s">
        <v>25</v>
      </c>
      <c r="P598" s="6"/>
      <c r="Q598" s="6">
        <v>1.0</v>
      </c>
      <c r="R598" s="6" t="s">
        <v>26</v>
      </c>
      <c r="S598" s="6" t="s">
        <v>27</v>
      </c>
      <c r="T598" s="6" t="s">
        <v>52</v>
      </c>
    </row>
    <row r="599">
      <c r="B599" s="6" t="s">
        <v>1400</v>
      </c>
      <c r="C599" s="7" t="str">
        <f t="shared" si="1"/>
        <v/>
      </c>
      <c r="D599" s="7" t="s">
        <v>50</v>
      </c>
      <c r="E599" s="12">
        <v>100.0</v>
      </c>
      <c r="F599" s="12"/>
      <c r="G599" s="11" t="s">
        <v>1401</v>
      </c>
      <c r="H599" s="9" t="str">
        <f t="shared" si="161"/>
        <v>https://www.thedrum.com</v>
      </c>
      <c r="I599" s="9" t="str">
        <f>IFERROR(__xludf.DUMMYFUNCTION("IF(REGEXMATCH(H599,""www""),RIGHT(H599,LEN(H599)-FIND(""."",H599)+0),if(regexmatch(H599,""https://""),right(H599,len(H599)-find(""/"",H599)-1),H599))"),"thedrum.com")</f>
        <v>thedrum.com</v>
      </c>
      <c r="J599" s="9" t="str">
        <f t="shared" si="162"/>
        <v>thedrum.com</v>
      </c>
      <c r="K599" s="9" t="s">
        <v>23</v>
      </c>
      <c r="L599" s="6" t="s">
        <v>176</v>
      </c>
      <c r="M599" s="8" t="str">
        <f t="shared" si="163"/>
        <v>https://newsapi.org/v2/everything?domains=thedrum.com&amp;apiKey=7d4cb29b783f48c8a1837901e959f134</v>
      </c>
      <c r="N599" s="6">
        <v>1.0</v>
      </c>
      <c r="O599" s="6" t="s">
        <v>25</v>
      </c>
      <c r="P599" s="6"/>
      <c r="Q599" s="6">
        <v>1.0</v>
      </c>
      <c r="R599" s="6" t="s">
        <v>26</v>
      </c>
      <c r="S599" s="6" t="s">
        <v>27</v>
      </c>
      <c r="T599" s="6" t="s">
        <v>329</v>
      </c>
    </row>
    <row r="600">
      <c r="B600" s="6" t="s">
        <v>1402</v>
      </c>
      <c r="C600" s="7" t="str">
        <f t="shared" si="1"/>
        <v/>
      </c>
      <c r="D600" s="7" t="s">
        <v>20</v>
      </c>
      <c r="E600" s="7"/>
      <c r="F600" s="8" t="s">
        <v>1403</v>
      </c>
      <c r="G600" s="8" t="s">
        <v>1404</v>
      </c>
      <c r="H600" s="9" t="str">
        <f t="shared" si="161"/>
        <v>https://www.thefoxisblack.com</v>
      </c>
      <c r="I600" s="9" t="str">
        <f>IFERROR(__xludf.DUMMYFUNCTION("IF(REGEXMATCH(H600,""www""),RIGHT(H600,LEN(H600)-FIND(""."",H600)+0),if(regexmatch(H600,""https://""),right(H600,len(H600)-find(""/"",H600)-1),H600))"),"thefoxisblack.com")</f>
        <v>thefoxisblack.com</v>
      </c>
      <c r="J600" s="9" t="str">
        <f t="shared" si="162"/>
        <v>thefoxisblack.com</v>
      </c>
      <c r="K600" s="9" t="s">
        <v>23</v>
      </c>
      <c r="L600" s="6" t="s">
        <v>176</v>
      </c>
      <c r="M600" s="8" t="str">
        <f t="shared" si="163"/>
        <v>https://newsapi.org/v2/everything?domains=thefoxisblack.com&amp;apiKey=7d4cb29b783f48c8a1837901e959f134</v>
      </c>
      <c r="N600" s="6">
        <v>0.0</v>
      </c>
      <c r="O600" s="6" t="s">
        <v>25</v>
      </c>
      <c r="P600" s="6"/>
      <c r="Q600" s="6">
        <v>1.0</v>
      </c>
      <c r="R600" s="6" t="s">
        <v>26</v>
      </c>
      <c r="S600" s="6" t="s">
        <v>27</v>
      </c>
      <c r="T600" s="6" t="s">
        <v>52</v>
      </c>
    </row>
    <row r="601">
      <c r="B601" s="6" t="s">
        <v>1405</v>
      </c>
      <c r="C601" s="7" t="str">
        <f t="shared" si="1"/>
        <v/>
      </c>
      <c r="D601" s="7" t="s">
        <v>20</v>
      </c>
      <c r="E601" s="1"/>
      <c r="F601" s="8" t="s">
        <v>1406</v>
      </c>
      <c r="G601" s="1"/>
      <c r="M601" s="1"/>
      <c r="N601" s="6">
        <v>0.0</v>
      </c>
      <c r="O601" s="6" t="s">
        <v>25</v>
      </c>
      <c r="P601" s="6"/>
      <c r="Q601" s="6">
        <v>1.0</v>
      </c>
      <c r="R601" s="6" t="s">
        <v>26</v>
      </c>
      <c r="S601" s="6" t="s">
        <v>27</v>
      </c>
      <c r="T601" s="6" t="s">
        <v>48</v>
      </c>
    </row>
    <row r="602">
      <c r="B602" s="6" t="s">
        <v>1407</v>
      </c>
      <c r="C602" s="7" t="str">
        <f t="shared" si="1"/>
        <v/>
      </c>
      <c r="D602" s="7" t="s">
        <v>20</v>
      </c>
      <c r="E602" s="7"/>
      <c r="F602" s="8" t="s">
        <v>1408</v>
      </c>
      <c r="G602" s="8" t="s">
        <v>1409</v>
      </c>
      <c r="H602" s="9" t="str">
        <f t="shared" ref="H602:H605" si="164">LEFT(G602, LEN(G602)-1)</f>
        <v>http://www.thehistoryblog.com</v>
      </c>
      <c r="I602" s="9" t="str">
        <f>IFERROR(__xludf.DUMMYFUNCTION("IF(REGEXMATCH(H602,""www""),RIGHT(H602,LEN(H602)-FIND(""."",H602)+0),if(regexmatch(H602,""https://""),right(H602,len(H602)-find(""/"",H602)-1),H602))"),"thehistoryblog.com")</f>
        <v>thehistoryblog.com</v>
      </c>
      <c r="J602" s="9" t="str">
        <f t="shared" ref="J602:J605" si="165">I602</f>
        <v>thehistoryblog.com</v>
      </c>
      <c r="K602" s="9" t="s">
        <v>23</v>
      </c>
      <c r="L602" s="6" t="s">
        <v>176</v>
      </c>
      <c r="M602" s="8" t="str">
        <f t="shared" ref="M602:M605" si="166">K602&amp;J602&amp;L602</f>
        <v>https://newsapi.org/v2/everything?domains=thehistoryblog.com&amp;apiKey=7d4cb29b783f48c8a1837901e959f134</v>
      </c>
      <c r="N602" s="6">
        <v>0.0</v>
      </c>
      <c r="O602" s="6" t="s">
        <v>39</v>
      </c>
      <c r="P602" s="6"/>
      <c r="Q602" s="6">
        <v>1.0</v>
      </c>
      <c r="R602" s="6" t="s">
        <v>26</v>
      </c>
      <c r="S602" s="6" t="s">
        <v>27</v>
      </c>
      <c r="T602" s="6" t="s">
        <v>56</v>
      </c>
    </row>
    <row r="603">
      <c r="B603" s="6" t="s">
        <v>1410</v>
      </c>
      <c r="C603" s="7" t="str">
        <f t="shared" si="1"/>
        <v/>
      </c>
      <c r="D603" s="7" t="s">
        <v>50</v>
      </c>
      <c r="E603" s="7">
        <v>4.0</v>
      </c>
      <c r="F603" s="7"/>
      <c r="G603" s="8" t="s">
        <v>1411</v>
      </c>
      <c r="H603" s="9" t="str">
        <f t="shared" si="164"/>
        <v>https://themarkup.org</v>
      </c>
      <c r="I603" s="9" t="str">
        <f>IFERROR(__xludf.DUMMYFUNCTION("IF(REGEXMATCH(H603,""www""),RIGHT(H603,LEN(H603)-FIND(""."",H603)+0),if(regexmatch(H603,""https://""),right(H603,len(H603)-find(""/"",H603)-1),H603))"),"themarkup.org")</f>
        <v>themarkup.org</v>
      </c>
      <c r="J603" s="9" t="str">
        <f t="shared" si="165"/>
        <v>themarkup.org</v>
      </c>
      <c r="K603" s="9" t="s">
        <v>23</v>
      </c>
      <c r="L603" s="6" t="s">
        <v>176</v>
      </c>
      <c r="M603" s="8" t="str">
        <f t="shared" si="166"/>
        <v>https://newsapi.org/v2/everything?domains=themarkup.org&amp;apiKey=7d4cb29b783f48c8a1837901e959f134</v>
      </c>
      <c r="N603" s="6">
        <v>0.0</v>
      </c>
      <c r="O603" s="6" t="s">
        <v>25</v>
      </c>
      <c r="P603" s="6"/>
      <c r="Q603" s="6">
        <v>1.0</v>
      </c>
      <c r="R603" s="6" t="s">
        <v>26</v>
      </c>
      <c r="S603" s="6" t="s">
        <v>27</v>
      </c>
      <c r="T603" s="6" t="s">
        <v>76</v>
      </c>
    </row>
    <row r="604">
      <c r="B604" s="6" t="s">
        <v>1412</v>
      </c>
      <c r="C604" s="7" t="str">
        <f t="shared" si="1"/>
        <v/>
      </c>
      <c r="D604" s="7" t="s">
        <v>50</v>
      </c>
      <c r="E604" s="7">
        <v>32.0</v>
      </c>
      <c r="F604" s="7"/>
      <c r="G604" s="8" t="s">
        <v>1413</v>
      </c>
      <c r="H604" s="9" t="str">
        <f t="shared" si="164"/>
        <v>https://www.thenewhumanitarian.org</v>
      </c>
      <c r="I604" s="9" t="str">
        <f>IFERROR(__xludf.DUMMYFUNCTION("IF(REGEXMATCH(H604,""www""),RIGHT(H604,LEN(H604)-FIND(""."",H604)+0),if(regexmatch(H604,""https://""),right(H604,len(H604)-find(""/"",H604)-1),H604))"),"thenewhumanitarian.org")</f>
        <v>thenewhumanitarian.org</v>
      </c>
      <c r="J604" s="9" t="str">
        <f t="shared" si="165"/>
        <v>thenewhumanitarian.org</v>
      </c>
      <c r="K604" s="9" t="s">
        <v>23</v>
      </c>
      <c r="L604" s="6" t="s">
        <v>176</v>
      </c>
      <c r="M604" s="8" t="str">
        <f t="shared" si="166"/>
        <v>https://newsapi.org/v2/everything?domains=thenewhumanitarian.org&amp;apiKey=7d4cb29b783f48c8a1837901e959f134</v>
      </c>
      <c r="N604" s="6">
        <v>1.0</v>
      </c>
      <c r="O604" s="6" t="s">
        <v>25</v>
      </c>
      <c r="P604" s="6"/>
      <c r="Q604" s="6">
        <v>1.0</v>
      </c>
      <c r="R604" s="6" t="s">
        <v>26</v>
      </c>
      <c r="S604" s="6" t="s">
        <v>27</v>
      </c>
      <c r="T604" s="6" t="s">
        <v>241</v>
      </c>
    </row>
    <row r="605">
      <c r="B605" s="6" t="s">
        <v>1414</v>
      </c>
      <c r="C605" s="7" t="str">
        <f t="shared" si="1"/>
        <v/>
      </c>
      <c r="D605" s="7" t="s">
        <v>20</v>
      </c>
      <c r="E605" s="7"/>
      <c r="F605" s="8" t="s">
        <v>1415</v>
      </c>
      <c r="G605" s="8" t="s">
        <v>1416</v>
      </c>
      <c r="H605" s="9" t="str">
        <f t="shared" si="164"/>
        <v>https://bonjour.lindseytramuta.com</v>
      </c>
      <c r="I605" s="9" t="str">
        <f>IFERROR(__xludf.DUMMYFUNCTION("IF(REGEXMATCH(H605,""www""),RIGHT(H605,LEN(H605)-FIND(""."",H605)+0),if(regexmatch(H605,""https://""),right(H605,len(H605)-find(""/"",H605)-1),H605))"),"bonjour.lindseytramuta.com")</f>
        <v>bonjour.lindseytramuta.com</v>
      </c>
      <c r="J605" s="9" t="str">
        <f t="shared" si="165"/>
        <v>bonjour.lindseytramuta.com</v>
      </c>
      <c r="K605" s="9" t="s">
        <v>23</v>
      </c>
      <c r="L605" s="6" t="s">
        <v>176</v>
      </c>
      <c r="M605" s="8" t="str">
        <f t="shared" si="166"/>
        <v>https://newsapi.org/v2/everything?domains=bonjour.lindseytramuta.com&amp;apiKey=7d4cb29b783f48c8a1837901e959f134</v>
      </c>
      <c r="N605" s="6">
        <v>0.0</v>
      </c>
      <c r="O605" s="6" t="s">
        <v>39</v>
      </c>
      <c r="P605" s="6"/>
      <c r="Q605" s="6">
        <v>1.0</v>
      </c>
      <c r="R605" s="6" t="s">
        <v>26</v>
      </c>
      <c r="S605" s="6" t="s">
        <v>27</v>
      </c>
      <c r="T605" s="6" t="s">
        <v>241</v>
      </c>
    </row>
    <row r="606">
      <c r="B606" s="6" t="s">
        <v>1417</v>
      </c>
      <c r="C606" s="7" t="str">
        <f t="shared" si="1"/>
        <v>The New York Review</v>
      </c>
      <c r="D606" s="7" t="s">
        <v>30</v>
      </c>
      <c r="E606" s="1"/>
      <c r="F606" s="8" t="s">
        <v>1418</v>
      </c>
      <c r="G606" s="1"/>
      <c r="M606" s="1"/>
      <c r="N606" s="6">
        <v>0.0</v>
      </c>
      <c r="O606" s="6" t="s">
        <v>25</v>
      </c>
      <c r="P606" s="6"/>
      <c r="Q606" s="6">
        <v>1.0</v>
      </c>
      <c r="R606" s="6" t="s">
        <v>26</v>
      </c>
      <c r="S606" s="6" t="s">
        <v>27</v>
      </c>
      <c r="T606" s="6" t="s">
        <v>607</v>
      </c>
    </row>
    <row r="607">
      <c r="B607" s="6" t="s">
        <v>1419</v>
      </c>
      <c r="C607" s="7" t="str">
        <f t="shared" si="1"/>
        <v>The New York Review</v>
      </c>
      <c r="D607" s="7" t="s">
        <v>30</v>
      </c>
      <c r="E607" s="1"/>
      <c r="F607" s="8" t="s">
        <v>1420</v>
      </c>
      <c r="G607" s="1"/>
      <c r="M607" s="1"/>
      <c r="N607" s="6">
        <v>0.0</v>
      </c>
      <c r="O607" s="6" t="s">
        <v>25</v>
      </c>
      <c r="P607" s="6"/>
      <c r="Q607" s="6">
        <v>1.0</v>
      </c>
      <c r="R607" s="6" t="s">
        <v>26</v>
      </c>
      <c r="S607" s="6" t="s">
        <v>27</v>
      </c>
      <c r="T607" s="6" t="s">
        <v>1100</v>
      </c>
    </row>
    <row r="608">
      <c r="B608" s="6" t="s">
        <v>1421</v>
      </c>
      <c r="C608" s="7" t="str">
        <f t="shared" si="1"/>
        <v>The New York Review</v>
      </c>
      <c r="D608" s="7" t="s">
        <v>30</v>
      </c>
      <c r="E608" s="1"/>
      <c r="F608" s="8" t="s">
        <v>1422</v>
      </c>
      <c r="G608" s="1"/>
      <c r="M608" s="1"/>
      <c r="N608" s="6">
        <v>0.0</v>
      </c>
      <c r="O608" s="6" t="s">
        <v>25</v>
      </c>
      <c r="P608" s="6"/>
      <c r="Q608" s="6">
        <v>1.0</v>
      </c>
      <c r="R608" s="6" t="s">
        <v>26</v>
      </c>
      <c r="S608" s="6" t="s">
        <v>27</v>
      </c>
      <c r="T608" s="6" t="s">
        <v>56</v>
      </c>
    </row>
    <row r="609">
      <c r="B609" s="6" t="s">
        <v>1423</v>
      </c>
      <c r="C609" s="7" t="str">
        <f t="shared" si="1"/>
        <v>The New York Review</v>
      </c>
      <c r="D609" s="7" t="s">
        <v>30</v>
      </c>
      <c r="E609" s="1"/>
      <c r="F609" s="8" t="s">
        <v>1424</v>
      </c>
      <c r="G609" s="1"/>
      <c r="M609" s="1"/>
      <c r="N609" s="6">
        <v>0.0</v>
      </c>
      <c r="O609" s="6" t="s">
        <v>25</v>
      </c>
      <c r="P609" s="6"/>
      <c r="Q609" s="6">
        <v>1.0</v>
      </c>
      <c r="R609" s="6" t="s">
        <v>26</v>
      </c>
      <c r="S609" s="6" t="s">
        <v>27</v>
      </c>
      <c r="T609" s="6" t="s">
        <v>107</v>
      </c>
    </row>
    <row r="610">
      <c r="B610" s="6" t="s">
        <v>1425</v>
      </c>
      <c r="C610" s="7" t="str">
        <f t="shared" si="1"/>
        <v>The New York Review</v>
      </c>
      <c r="D610" s="7" t="s">
        <v>30</v>
      </c>
      <c r="E610" s="1"/>
      <c r="F610" s="8" t="s">
        <v>1426</v>
      </c>
      <c r="G610" s="1"/>
      <c r="M610" s="1"/>
      <c r="N610" s="6">
        <v>0.0</v>
      </c>
      <c r="O610" s="6" t="s">
        <v>25</v>
      </c>
      <c r="P610" s="6"/>
      <c r="Q610" s="6">
        <v>1.0</v>
      </c>
      <c r="R610" s="6" t="s">
        <v>26</v>
      </c>
      <c r="S610" s="6" t="s">
        <v>27</v>
      </c>
      <c r="T610" s="6" t="s">
        <v>32</v>
      </c>
    </row>
    <row r="611">
      <c r="B611" s="6" t="s">
        <v>1427</v>
      </c>
      <c r="C611" s="7" t="str">
        <f t="shared" si="1"/>
        <v>The New York Review</v>
      </c>
      <c r="D611" s="7" t="s">
        <v>30</v>
      </c>
      <c r="E611" s="1"/>
      <c r="F611" s="8" t="s">
        <v>1428</v>
      </c>
      <c r="G611" s="1"/>
      <c r="M611" s="1"/>
      <c r="N611" s="6">
        <v>0.0</v>
      </c>
      <c r="O611" s="6" t="s">
        <v>25</v>
      </c>
      <c r="P611" s="6"/>
      <c r="Q611" s="6">
        <v>1.0</v>
      </c>
      <c r="R611" s="6" t="s">
        <v>26</v>
      </c>
      <c r="S611" s="6" t="s">
        <v>27</v>
      </c>
      <c r="T611" s="6" t="s">
        <v>67</v>
      </c>
    </row>
    <row r="612">
      <c r="B612" s="6" t="s">
        <v>1429</v>
      </c>
      <c r="C612" s="7" t="str">
        <f t="shared" si="1"/>
        <v>The New York Review</v>
      </c>
      <c r="D612" s="7" t="s">
        <v>30</v>
      </c>
      <c r="E612" s="1"/>
      <c r="F612" s="8" t="s">
        <v>1430</v>
      </c>
      <c r="G612" s="1"/>
      <c r="M612" s="1"/>
      <c r="N612" s="6">
        <v>0.0</v>
      </c>
      <c r="O612" s="6" t="s">
        <v>25</v>
      </c>
      <c r="P612" s="6"/>
      <c r="Q612" s="6">
        <v>1.0</v>
      </c>
      <c r="R612" s="6" t="s">
        <v>26</v>
      </c>
      <c r="S612" s="6" t="s">
        <v>27</v>
      </c>
      <c r="T612" s="6" t="s">
        <v>28</v>
      </c>
    </row>
    <row r="613">
      <c r="B613" s="6" t="s">
        <v>1431</v>
      </c>
      <c r="C613" s="7" t="str">
        <f t="shared" si="1"/>
        <v>The New York Review</v>
      </c>
      <c r="D613" s="7" t="s">
        <v>30</v>
      </c>
      <c r="E613" s="1"/>
      <c r="F613" s="8" t="s">
        <v>1432</v>
      </c>
      <c r="G613" s="1"/>
      <c r="M613" s="1"/>
      <c r="N613" s="6">
        <v>0.0</v>
      </c>
      <c r="O613" s="6" t="s">
        <v>25</v>
      </c>
      <c r="P613" s="6"/>
      <c r="Q613" s="6">
        <v>1.0</v>
      </c>
      <c r="R613" s="6" t="s">
        <v>26</v>
      </c>
      <c r="S613" s="6" t="s">
        <v>27</v>
      </c>
      <c r="T613" s="6" t="s">
        <v>131</v>
      </c>
    </row>
    <row r="614">
      <c r="B614" s="6" t="s">
        <v>1433</v>
      </c>
      <c r="C614" s="7" t="str">
        <f t="shared" si="1"/>
        <v>The New York Review</v>
      </c>
      <c r="D614" s="7" t="s">
        <v>30</v>
      </c>
      <c r="E614" s="1"/>
      <c r="F614" s="8" t="s">
        <v>1434</v>
      </c>
      <c r="G614" s="1"/>
      <c r="M614" s="1"/>
      <c r="N614" s="6">
        <v>0.0</v>
      </c>
      <c r="O614" s="6" t="s">
        <v>25</v>
      </c>
      <c r="P614" s="6"/>
      <c r="Q614" s="6">
        <v>1.0</v>
      </c>
      <c r="R614" s="6" t="s">
        <v>26</v>
      </c>
      <c r="S614" s="6" t="s">
        <v>27</v>
      </c>
      <c r="T614" s="6" t="s">
        <v>56</v>
      </c>
    </row>
    <row r="615">
      <c r="B615" s="6" t="s">
        <v>1435</v>
      </c>
      <c r="C615" s="7" t="str">
        <f t="shared" si="1"/>
        <v>The New York Review</v>
      </c>
      <c r="D615" s="7" t="s">
        <v>30</v>
      </c>
      <c r="E615" s="1"/>
      <c r="F615" s="8" t="s">
        <v>1436</v>
      </c>
      <c r="G615" s="1"/>
      <c r="M615" s="1"/>
      <c r="N615" s="6">
        <v>0.0</v>
      </c>
      <c r="O615" s="6" t="s">
        <v>25</v>
      </c>
      <c r="P615" s="6"/>
      <c r="Q615" s="6">
        <v>1.0</v>
      </c>
      <c r="R615" s="6" t="s">
        <v>26</v>
      </c>
      <c r="S615" s="6" t="s">
        <v>27</v>
      </c>
      <c r="T615" s="6" t="s">
        <v>67</v>
      </c>
    </row>
    <row r="616">
      <c r="B616" s="6" t="s">
        <v>1437</v>
      </c>
      <c r="C616" s="7" t="str">
        <f t="shared" si="1"/>
        <v/>
      </c>
      <c r="D616" s="7" t="s">
        <v>50</v>
      </c>
      <c r="E616" s="7">
        <v>100.0</v>
      </c>
      <c r="F616" s="7"/>
      <c r="G616" s="8" t="s">
        <v>1438</v>
      </c>
      <c r="H616" s="9" t="str">
        <f t="shared" ref="H616:H617" si="167">LEFT(G616, LEN(G616)-1)</f>
        <v>https://thenextweb.com</v>
      </c>
      <c r="I616" s="9" t="str">
        <f>IFERROR(__xludf.DUMMYFUNCTION("IF(REGEXMATCH(H616,""www""),RIGHT(H616,LEN(H616)-FIND(""."",H616)+0),if(regexmatch(H616,""https://""),right(H616,len(H616)-find(""/"",H616)-1),H616))"),"thenextweb.com")</f>
        <v>thenextweb.com</v>
      </c>
      <c r="J616" s="9" t="str">
        <f>I616</f>
        <v>thenextweb.com</v>
      </c>
      <c r="K616" s="9" t="s">
        <v>23</v>
      </c>
      <c r="L616" s="6" t="s">
        <v>176</v>
      </c>
      <c r="M616" s="8" t="str">
        <f t="shared" ref="M616:M617" si="168">K616&amp;J616&amp;L616</f>
        <v>https://newsapi.org/v2/everything?domains=thenextweb.com&amp;apiKey=7d4cb29b783f48c8a1837901e959f134</v>
      </c>
      <c r="N616" s="6">
        <v>1.0</v>
      </c>
      <c r="O616" s="6" t="s">
        <v>25</v>
      </c>
      <c r="P616" s="6"/>
      <c r="Q616" s="6">
        <v>1.0</v>
      </c>
      <c r="R616" s="6" t="s">
        <v>26</v>
      </c>
      <c r="S616" s="6" t="s">
        <v>27</v>
      </c>
      <c r="T616" s="6" t="s">
        <v>76</v>
      </c>
    </row>
    <row r="617">
      <c r="B617" s="14" t="s">
        <v>1439</v>
      </c>
      <c r="C617" s="7" t="str">
        <f t="shared" si="1"/>
        <v/>
      </c>
      <c r="D617" s="16" t="s">
        <v>20</v>
      </c>
      <c r="E617" s="17"/>
      <c r="F617" s="17" t="s">
        <v>1440</v>
      </c>
      <c r="G617" s="22" t="s">
        <v>1441</v>
      </c>
      <c r="H617" s="9" t="str">
        <f t="shared" si="167"/>
        <v>https://www.theparisreview.org</v>
      </c>
      <c r="I617" s="9" t="str">
        <f>IFERROR(__xludf.DUMMYFUNCTION("IF(REGEXMATCH(H617,""www""),RIGHT(H617,LEN(H617)-FIND(""."",H617)+0),if(regexmatch(H617,""https://""),right(H617,len(H617)-find(""/"",H617)-1),H617))"),"theparisreview.org")</f>
        <v>theparisreview.org</v>
      </c>
      <c r="J617" s="10"/>
      <c r="K617" s="9" t="s">
        <v>23</v>
      </c>
      <c r="L617" s="6" t="s">
        <v>24</v>
      </c>
      <c r="M617" s="8" t="str">
        <f t="shared" si="168"/>
        <v>https://newsapi.org/v2/everything?domains=&amp;apiKey=ae2ad3e68d4e4daca149bbfb9b61c010</v>
      </c>
      <c r="N617" s="15">
        <v>1.0</v>
      </c>
      <c r="O617" s="14" t="s">
        <v>25</v>
      </c>
      <c r="P617" s="14"/>
      <c r="Q617" s="15">
        <v>1.0</v>
      </c>
      <c r="R617" s="6" t="s">
        <v>26</v>
      </c>
      <c r="S617" s="14" t="s">
        <v>27</v>
      </c>
      <c r="T617" s="14" t="s">
        <v>107</v>
      </c>
    </row>
    <row r="618">
      <c r="B618" s="6" t="s">
        <v>1442</v>
      </c>
      <c r="C618" s="7" t="str">
        <f t="shared" si="1"/>
        <v/>
      </c>
      <c r="D618" s="7" t="s">
        <v>20</v>
      </c>
      <c r="E618" s="1"/>
      <c r="F618" s="11" t="s">
        <v>1443</v>
      </c>
      <c r="G618" s="1"/>
      <c r="M618" s="1"/>
      <c r="N618" s="6">
        <v>0.0</v>
      </c>
      <c r="O618" s="6" t="s">
        <v>43</v>
      </c>
      <c r="P618" s="6"/>
      <c r="Q618" s="6">
        <v>1.0</v>
      </c>
      <c r="R618" s="6" t="s">
        <v>26</v>
      </c>
      <c r="S618" s="6" t="s">
        <v>27</v>
      </c>
      <c r="T618" s="6" t="s">
        <v>52</v>
      </c>
    </row>
    <row r="619">
      <c r="B619" s="6" t="s">
        <v>1444</v>
      </c>
      <c r="C619" s="7" t="str">
        <f t="shared" si="1"/>
        <v/>
      </c>
      <c r="D619" s="7" t="s">
        <v>50</v>
      </c>
      <c r="E619" s="7">
        <v>16.0</v>
      </c>
      <c r="F619" s="7"/>
      <c r="G619" s="8" t="s">
        <v>1445</v>
      </c>
      <c r="H619" s="9" t="str">
        <f t="shared" ref="H619:H620" si="169">LEFT(G619, LEN(G619)-1)</f>
        <v>https://www.planetary.org</v>
      </c>
      <c r="I619" s="9" t="str">
        <f>IFERROR(__xludf.DUMMYFUNCTION("IF(REGEXMATCH(H619,""www""),RIGHT(H619,LEN(H619)-FIND(""."",H619)+0),if(regexmatch(H619,""https://""),right(H619,len(H619)-find(""/"",H619)-1),H619))"),"planetary.org")</f>
        <v>planetary.org</v>
      </c>
      <c r="J619" s="9" t="str">
        <f t="shared" ref="J619:J620" si="170">I619</f>
        <v>planetary.org</v>
      </c>
      <c r="K619" s="9" t="s">
        <v>23</v>
      </c>
      <c r="L619" s="6" t="s">
        <v>176</v>
      </c>
      <c r="M619" s="8" t="str">
        <f t="shared" ref="M619:M620" si="171">K619&amp;J619&amp;L619</f>
        <v>https://newsapi.org/v2/everything?domains=planetary.org&amp;apiKey=7d4cb29b783f48c8a1837901e959f134</v>
      </c>
      <c r="N619" s="6">
        <v>1.0</v>
      </c>
      <c r="O619" s="6" t="s">
        <v>25</v>
      </c>
      <c r="P619" s="6"/>
      <c r="Q619" s="6">
        <v>1.0</v>
      </c>
      <c r="R619" s="6" t="s">
        <v>26</v>
      </c>
      <c r="S619" s="6" t="s">
        <v>27</v>
      </c>
      <c r="T619" s="6" t="s">
        <v>64</v>
      </c>
    </row>
    <row r="620">
      <c r="B620" s="6" t="s">
        <v>1446</v>
      </c>
      <c r="C620" s="7" t="str">
        <f t="shared" si="1"/>
        <v/>
      </c>
      <c r="D620" s="7" t="s">
        <v>50</v>
      </c>
      <c r="E620" s="7">
        <v>100.0</v>
      </c>
      <c r="F620" s="7"/>
      <c r="G620" s="8" t="s">
        <v>1447</v>
      </c>
      <c r="H620" s="9" t="str">
        <f t="shared" si="169"/>
        <v>https://www.theregister.com</v>
      </c>
      <c r="I620" s="9" t="str">
        <f>IFERROR(__xludf.DUMMYFUNCTION("IF(REGEXMATCH(H620,""www""),RIGHT(H620,LEN(H620)-FIND(""."",H620)+0),if(regexmatch(H620,""https://""),right(H620,len(H620)-find(""/"",H620)-1),H620))"),"theregister.com")</f>
        <v>theregister.com</v>
      </c>
      <c r="J620" s="9" t="str">
        <f t="shared" si="170"/>
        <v>theregister.com</v>
      </c>
      <c r="K620" s="9" t="s">
        <v>23</v>
      </c>
      <c r="L620" s="6" t="s">
        <v>176</v>
      </c>
      <c r="M620" s="8" t="str">
        <f t="shared" si="171"/>
        <v>https://newsapi.org/v2/everything?domains=theregister.com&amp;apiKey=7d4cb29b783f48c8a1837901e959f134</v>
      </c>
      <c r="N620" s="6">
        <v>1.0</v>
      </c>
      <c r="O620" s="6" t="s">
        <v>25</v>
      </c>
      <c r="P620" s="6"/>
      <c r="Q620" s="6">
        <v>1.0</v>
      </c>
      <c r="R620" s="6" t="s">
        <v>26</v>
      </c>
      <c r="S620" s="6" t="s">
        <v>27</v>
      </c>
      <c r="T620" s="6" t="s">
        <v>145</v>
      </c>
    </row>
    <row r="621">
      <c r="B621" s="6" t="s">
        <v>1448</v>
      </c>
      <c r="C621" s="7" t="str">
        <f t="shared" si="1"/>
        <v>The Ringer</v>
      </c>
      <c r="D621" s="7" t="s">
        <v>30</v>
      </c>
      <c r="E621" s="1"/>
      <c r="F621" s="8" t="s">
        <v>1449</v>
      </c>
      <c r="G621" s="1"/>
      <c r="M621" s="1"/>
      <c r="N621" s="6">
        <v>1.0</v>
      </c>
      <c r="O621" s="6" t="s">
        <v>25</v>
      </c>
      <c r="P621" s="6"/>
      <c r="Q621" s="6">
        <v>1.0</v>
      </c>
      <c r="R621" s="6" t="s">
        <v>26</v>
      </c>
      <c r="S621" s="6" t="s">
        <v>27</v>
      </c>
      <c r="T621" s="6" t="s">
        <v>90</v>
      </c>
    </row>
    <row r="622">
      <c r="B622" s="6" t="s">
        <v>1450</v>
      </c>
      <c r="C622" s="7" t="str">
        <f t="shared" si="1"/>
        <v>The Ringer</v>
      </c>
      <c r="D622" s="7" t="s">
        <v>30</v>
      </c>
      <c r="E622" s="1"/>
      <c r="F622" s="8" t="s">
        <v>1451</v>
      </c>
      <c r="G622" s="1"/>
      <c r="M622" s="1"/>
      <c r="N622" s="6">
        <v>1.0</v>
      </c>
      <c r="O622" s="6" t="s">
        <v>25</v>
      </c>
      <c r="P622" s="6"/>
      <c r="Q622" s="6">
        <v>1.0</v>
      </c>
      <c r="R622" s="6" t="s">
        <v>26</v>
      </c>
      <c r="S622" s="6" t="s">
        <v>27</v>
      </c>
      <c r="T622" s="6" t="s">
        <v>32</v>
      </c>
    </row>
    <row r="623">
      <c r="B623" s="6" t="s">
        <v>1452</v>
      </c>
      <c r="C623" s="7" t="str">
        <f t="shared" si="1"/>
        <v/>
      </c>
      <c r="D623" s="7" t="s">
        <v>30</v>
      </c>
      <c r="E623" s="7"/>
      <c r="F623" s="8" t="s">
        <v>1453</v>
      </c>
      <c r="G623" s="8" t="s">
        <v>1454</v>
      </c>
      <c r="H623" s="9" t="str">
        <f>LEFT(G623, LEN(G623)-1)</f>
        <v>https://www.the-scientist.com</v>
      </c>
      <c r="I623" s="9" t="str">
        <f>IFERROR(__xludf.DUMMYFUNCTION("IF(REGEXMATCH(H623,""www""),RIGHT(H623,LEN(H623)-FIND(""."",H623)+0),if(regexmatch(H623,""https://""),right(H623,len(H623)-find(""/"",H623)-1),H623))"),"the-scientist.com")</f>
        <v>the-scientist.com</v>
      </c>
      <c r="J623" s="9" t="str">
        <f>I623</f>
        <v>the-scientist.com</v>
      </c>
      <c r="K623" s="9" t="s">
        <v>23</v>
      </c>
      <c r="L623" s="6" t="s">
        <v>24</v>
      </c>
      <c r="M623" s="8" t="str">
        <f>K623&amp;J623&amp;L623</f>
        <v>https://newsapi.org/v2/everything?domains=the-scientist.com&amp;apiKey=ae2ad3e68d4e4daca149bbfb9b61c010</v>
      </c>
      <c r="N623" s="6">
        <v>1.0</v>
      </c>
      <c r="O623" s="6" t="s">
        <v>25</v>
      </c>
      <c r="P623" s="6"/>
      <c r="Q623" s="6">
        <v>1.0</v>
      </c>
      <c r="R623" s="6" t="s">
        <v>26</v>
      </c>
      <c r="S623" s="6" t="s">
        <v>27</v>
      </c>
      <c r="T623" s="6" t="s">
        <v>131</v>
      </c>
    </row>
    <row r="624">
      <c r="B624" s="6" t="s">
        <v>1455</v>
      </c>
      <c r="C624" s="7" t="str">
        <f t="shared" si="1"/>
        <v/>
      </c>
      <c r="D624" s="7" t="s">
        <v>20</v>
      </c>
      <c r="E624" s="1"/>
      <c r="F624" s="11" t="s">
        <v>1456</v>
      </c>
      <c r="G624" s="1"/>
      <c r="M624" s="1"/>
      <c r="N624" s="6">
        <v>0.0</v>
      </c>
      <c r="O624" s="6" t="s">
        <v>43</v>
      </c>
      <c r="P624" s="6"/>
      <c r="Q624" s="6">
        <v>1.0</v>
      </c>
      <c r="R624" s="6" t="s">
        <v>26</v>
      </c>
      <c r="S624" s="6" t="s">
        <v>27</v>
      </c>
      <c r="T624" s="6" t="s">
        <v>76</v>
      </c>
    </row>
    <row r="625">
      <c r="B625" s="6" t="s">
        <v>1457</v>
      </c>
      <c r="C625" s="7" t="str">
        <f t="shared" si="1"/>
        <v/>
      </c>
      <c r="D625" s="7" t="s">
        <v>20</v>
      </c>
      <c r="E625" s="1"/>
      <c r="F625" s="11" t="s">
        <v>1458</v>
      </c>
      <c r="G625" s="1"/>
      <c r="M625" s="1"/>
      <c r="N625" s="6">
        <v>0.0</v>
      </c>
      <c r="O625" s="6" t="s">
        <v>43</v>
      </c>
      <c r="P625" s="6"/>
      <c r="Q625" s="6">
        <v>1.0</v>
      </c>
      <c r="R625" s="6" t="s">
        <v>26</v>
      </c>
      <c r="S625" s="6" t="s">
        <v>27</v>
      </c>
      <c r="T625" s="6" t="s">
        <v>44</v>
      </c>
    </row>
    <row r="626">
      <c r="B626" s="6" t="s">
        <v>1459</v>
      </c>
      <c r="C626" s="7" t="str">
        <f t="shared" si="1"/>
        <v/>
      </c>
      <c r="D626" s="7" t="s">
        <v>20</v>
      </c>
      <c r="E626" s="1"/>
      <c r="F626" s="8" t="s">
        <v>1460</v>
      </c>
      <c r="G626" s="1"/>
      <c r="M626" s="1"/>
      <c r="N626" s="6">
        <v>0.0</v>
      </c>
      <c r="O626" s="6" t="s">
        <v>25</v>
      </c>
      <c r="P626" s="6"/>
      <c r="Q626" s="6">
        <v>1.0</v>
      </c>
      <c r="R626" s="6" t="s">
        <v>26</v>
      </c>
      <c r="S626" s="6" t="s">
        <v>27</v>
      </c>
      <c r="T626" s="6" t="s">
        <v>61</v>
      </c>
    </row>
    <row r="627">
      <c r="B627" s="6" t="s">
        <v>1461</v>
      </c>
      <c r="C627" s="7" t="str">
        <f t="shared" si="1"/>
        <v/>
      </c>
      <c r="D627" s="7" t="s">
        <v>20</v>
      </c>
      <c r="E627" s="1"/>
      <c r="F627" s="8" t="s">
        <v>1462</v>
      </c>
      <c r="G627" s="1"/>
      <c r="M627" s="1"/>
      <c r="N627" s="6">
        <v>0.0</v>
      </c>
      <c r="O627" s="6" t="s">
        <v>43</v>
      </c>
      <c r="P627" s="6"/>
      <c r="Q627" s="6">
        <v>1.0</v>
      </c>
      <c r="R627" s="6" t="s">
        <v>26</v>
      </c>
      <c r="S627" s="6" t="s">
        <v>27</v>
      </c>
      <c r="T627" s="6" t="s">
        <v>48</v>
      </c>
    </row>
    <row r="628">
      <c r="B628" s="6" t="s">
        <v>1463</v>
      </c>
      <c r="C628" s="7" t="str">
        <f t="shared" si="1"/>
        <v/>
      </c>
      <c r="D628" s="7" t="s">
        <v>20</v>
      </c>
      <c r="E628" s="1"/>
      <c r="F628" s="8" t="s">
        <v>1464</v>
      </c>
      <c r="G628" s="1"/>
      <c r="M628" s="1"/>
      <c r="N628" s="6">
        <v>0.0</v>
      </c>
      <c r="O628" s="6" t="s">
        <v>25</v>
      </c>
      <c r="P628" s="6"/>
      <c r="Q628" s="6">
        <v>1.0</v>
      </c>
      <c r="R628" s="6" t="s">
        <v>26</v>
      </c>
      <c r="S628" s="6" t="s">
        <v>27</v>
      </c>
      <c r="T628" s="6" t="s">
        <v>40</v>
      </c>
    </row>
    <row r="629">
      <c r="B629" s="6" t="s">
        <v>1465</v>
      </c>
      <c r="C629" s="7" t="str">
        <f t="shared" si="1"/>
        <v/>
      </c>
      <c r="D629" s="7" t="s">
        <v>50</v>
      </c>
      <c r="E629" s="7">
        <v>100.0</v>
      </c>
      <c r="F629" s="7"/>
      <c r="G629" s="8" t="s">
        <v>1466</v>
      </c>
      <c r="H629" s="9" t="str">
        <f>LEFT(G629, LEN(G629)-1)</f>
        <v>https://www.theverge.com</v>
      </c>
      <c r="I629" s="9" t="str">
        <f>IFERROR(__xludf.DUMMYFUNCTION("IF(REGEXMATCH(H629,""www""),RIGHT(H629,LEN(H629)-FIND(""."",H629)+0),if(regexmatch(H629,""https://""),right(H629,len(H629)-find(""/"",H629)-1),H629))"),"theverge.com")</f>
        <v>theverge.com</v>
      </c>
      <c r="J629" s="9" t="str">
        <f>I629</f>
        <v>theverge.com</v>
      </c>
      <c r="K629" s="9" t="s">
        <v>23</v>
      </c>
      <c r="L629" s="6" t="s">
        <v>24</v>
      </c>
      <c r="M629" s="8" t="str">
        <f>K629&amp;J629&amp;L629</f>
        <v>https://newsapi.org/v2/everything?domains=theverge.com&amp;apiKey=ae2ad3e68d4e4daca149bbfb9b61c010</v>
      </c>
      <c r="N629" s="6">
        <v>1.0</v>
      </c>
      <c r="O629" s="6" t="s">
        <v>25</v>
      </c>
      <c r="P629" s="6"/>
      <c r="Q629" s="6">
        <v>1.0</v>
      </c>
      <c r="R629" s="6" t="s">
        <v>26</v>
      </c>
      <c r="S629" s="6" t="s">
        <v>27</v>
      </c>
      <c r="T629" s="6" t="s">
        <v>76</v>
      </c>
    </row>
    <row r="630">
      <c r="B630" s="6" t="s">
        <v>1467</v>
      </c>
      <c r="C630" s="7" t="str">
        <f t="shared" si="1"/>
        <v/>
      </c>
      <c r="D630" s="7" t="s">
        <v>30</v>
      </c>
      <c r="E630" s="7"/>
      <c r="F630" s="8" t="s">
        <v>1468</v>
      </c>
      <c r="G630" s="8" t="s">
        <v>1469</v>
      </c>
      <c r="M630" s="1"/>
      <c r="N630" s="6">
        <v>1.0</v>
      </c>
      <c r="O630" s="6" t="s">
        <v>25</v>
      </c>
      <c r="P630" s="6"/>
      <c r="Q630" s="6">
        <v>1.0</v>
      </c>
      <c r="R630" s="6" t="s">
        <v>26</v>
      </c>
      <c r="S630" s="6" t="s">
        <v>27</v>
      </c>
      <c r="T630" s="6" t="s">
        <v>56</v>
      </c>
    </row>
    <row r="631">
      <c r="B631" s="6" t="s">
        <v>1470</v>
      </c>
      <c r="C631" s="7" t="str">
        <f t="shared" si="1"/>
        <v/>
      </c>
      <c r="D631" s="7" t="s">
        <v>20</v>
      </c>
      <c r="E631" s="7"/>
      <c r="F631" s="8" t="s">
        <v>1471</v>
      </c>
      <c r="G631" s="8" t="s">
        <v>1472</v>
      </c>
      <c r="H631" s="9" t="str">
        <f>LEFT(G631, LEN(G631)-1)</f>
        <v>https://there.oughta.be</v>
      </c>
      <c r="I631" s="9" t="str">
        <f>IFERROR(__xludf.DUMMYFUNCTION("IF(REGEXMATCH(H631,""www""),RIGHT(H631,LEN(H631)-FIND(""."",H631)+0),if(regexmatch(H631,""https://""),right(H631,len(H631)-find(""/"",H631)-1),H631))"),"there.oughta.be")</f>
        <v>there.oughta.be</v>
      </c>
      <c r="J631" s="9" t="str">
        <f>I631</f>
        <v>there.oughta.be</v>
      </c>
      <c r="K631" s="9" t="s">
        <v>23</v>
      </c>
      <c r="L631" s="6" t="s">
        <v>176</v>
      </c>
      <c r="M631" s="8" t="str">
        <f>K631&amp;J631&amp;L631</f>
        <v>https://newsapi.org/v2/everything?domains=there.oughta.be&amp;apiKey=7d4cb29b783f48c8a1837901e959f134</v>
      </c>
      <c r="N631" s="6">
        <v>0.0</v>
      </c>
      <c r="O631" s="6" t="s">
        <v>39</v>
      </c>
      <c r="P631" s="6"/>
      <c r="Q631" s="6">
        <v>1.0</v>
      </c>
      <c r="R631" s="6" t="s">
        <v>26</v>
      </c>
      <c r="S631" s="6" t="s">
        <v>27</v>
      </c>
      <c r="T631" s="6" t="s">
        <v>145</v>
      </c>
    </row>
    <row r="632">
      <c r="B632" s="6" t="s">
        <v>1473</v>
      </c>
      <c r="C632" s="7" t="str">
        <f t="shared" si="1"/>
        <v/>
      </c>
      <c r="D632" s="16" t="s">
        <v>20</v>
      </c>
      <c r="E632" s="12"/>
      <c r="F632" s="11" t="s">
        <v>1474</v>
      </c>
      <c r="G632" s="7"/>
      <c r="M632" s="1"/>
      <c r="N632" s="6">
        <v>0.0</v>
      </c>
      <c r="O632" s="6" t="s">
        <v>43</v>
      </c>
      <c r="P632" s="6"/>
      <c r="Q632" s="6">
        <v>1.0</v>
      </c>
      <c r="R632" s="6" t="s">
        <v>26</v>
      </c>
      <c r="S632" s="6" t="s">
        <v>27</v>
      </c>
      <c r="T632" s="6" t="s">
        <v>56</v>
      </c>
    </row>
    <row r="633">
      <c r="B633" s="6" t="s">
        <v>1475</v>
      </c>
      <c r="C633" s="7" t="str">
        <f t="shared" si="1"/>
        <v/>
      </c>
      <c r="D633" s="7" t="s">
        <v>50</v>
      </c>
      <c r="E633" s="7">
        <v>65.0</v>
      </c>
      <c r="F633" s="7"/>
      <c r="G633" s="8" t="s">
        <v>1476</v>
      </c>
      <c r="H633" s="9" t="str">
        <f>LEFT(G633, LEN(G633)-1)</f>
        <v>https://www.thisiscolossal.com</v>
      </c>
      <c r="I633" s="9" t="str">
        <f>IFERROR(__xludf.DUMMYFUNCTION("IF(REGEXMATCH(H633,""www""),RIGHT(H633,LEN(H633)-FIND(""."",H633)+0),if(regexmatch(H633,""https://""),right(H633,len(H633)-find(""/"",H633)-1),H633))"),"thisiscolossal.com")</f>
        <v>thisiscolossal.com</v>
      </c>
      <c r="J633" s="9" t="str">
        <f>I633</f>
        <v>thisiscolossal.com</v>
      </c>
      <c r="K633" s="9" t="s">
        <v>23</v>
      </c>
      <c r="L633" s="6" t="s">
        <v>176</v>
      </c>
      <c r="M633" s="8" t="str">
        <f>K633&amp;J633&amp;L633</f>
        <v>https://newsapi.org/v2/everything?domains=thisiscolossal.com&amp;apiKey=7d4cb29b783f48c8a1837901e959f134</v>
      </c>
      <c r="N633" s="6">
        <v>0.0</v>
      </c>
      <c r="O633" s="6" t="s">
        <v>25</v>
      </c>
      <c r="P633" s="6"/>
      <c r="Q633" s="6">
        <v>1.0</v>
      </c>
      <c r="R633" s="6" t="s">
        <v>26</v>
      </c>
      <c r="S633" s="6" t="s">
        <v>27</v>
      </c>
      <c r="T633" s="6" t="s">
        <v>67</v>
      </c>
    </row>
    <row r="634">
      <c r="B634" s="6" t="s">
        <v>1477</v>
      </c>
      <c r="C634" s="7" t="str">
        <f t="shared" si="1"/>
        <v/>
      </c>
      <c r="D634" s="16" t="s">
        <v>20</v>
      </c>
      <c r="E634" s="12"/>
      <c r="F634" s="11" t="s">
        <v>1478</v>
      </c>
      <c r="G634" s="7"/>
      <c r="M634" s="1"/>
      <c r="N634" s="6">
        <v>0.0</v>
      </c>
      <c r="O634" s="6" t="s">
        <v>43</v>
      </c>
      <c r="P634" s="6"/>
      <c r="Q634" s="6">
        <v>1.0</v>
      </c>
      <c r="R634" s="6" t="s">
        <v>26</v>
      </c>
      <c r="S634" s="6" t="s">
        <v>27</v>
      </c>
      <c r="T634" s="6" t="s">
        <v>44</v>
      </c>
    </row>
    <row r="635">
      <c r="B635" s="6" t="s">
        <v>1479</v>
      </c>
      <c r="C635" s="7" t="str">
        <f t="shared" si="1"/>
        <v/>
      </c>
      <c r="D635" s="7" t="s">
        <v>20</v>
      </c>
      <c r="E635" s="7"/>
      <c r="F635" s="8" t="s">
        <v>1480</v>
      </c>
      <c r="G635" s="8" t="s">
        <v>1481</v>
      </c>
      <c r="H635" s="9" t="str">
        <f t="shared" ref="H635:H639" si="172">LEFT(G635, LEN(G635)-1)</f>
        <v>https://tonsky.me</v>
      </c>
      <c r="I635" s="9" t="str">
        <f>IFERROR(__xludf.DUMMYFUNCTION("IF(REGEXMATCH(H635,""www""),RIGHT(H635,LEN(H635)-FIND(""."",H635)+0),if(regexmatch(H635,""https://""),right(H635,len(H635)-find(""/"",H635)-1),H635))"),"tonsky.me")</f>
        <v>tonsky.me</v>
      </c>
      <c r="J635" s="9" t="str">
        <f t="shared" ref="J635:J639" si="173">I635</f>
        <v>tonsky.me</v>
      </c>
      <c r="K635" s="9" t="s">
        <v>23</v>
      </c>
      <c r="L635" s="6" t="s">
        <v>176</v>
      </c>
      <c r="M635" s="8" t="str">
        <f t="shared" ref="M635:M639" si="174">K635&amp;J635&amp;L635</f>
        <v>https://newsapi.org/v2/everything?domains=tonsky.me&amp;apiKey=7d4cb29b783f48c8a1837901e959f134</v>
      </c>
      <c r="N635" s="6">
        <v>0.0</v>
      </c>
      <c r="O635" s="6" t="s">
        <v>39</v>
      </c>
      <c r="P635" s="6"/>
      <c r="Q635" s="6">
        <v>1.0</v>
      </c>
      <c r="R635" s="6" t="s">
        <v>26</v>
      </c>
      <c r="S635" s="6" t="s">
        <v>27</v>
      </c>
      <c r="T635" s="6" t="s">
        <v>76</v>
      </c>
    </row>
    <row r="636">
      <c r="B636" s="6" t="s">
        <v>1482</v>
      </c>
      <c r="C636" s="7" t="str">
        <f t="shared" si="1"/>
        <v/>
      </c>
      <c r="D636" s="7" t="s">
        <v>20</v>
      </c>
      <c r="E636" s="12"/>
      <c r="F636" s="11" t="s">
        <v>1483</v>
      </c>
      <c r="G636" s="11" t="s">
        <v>1484</v>
      </c>
      <c r="H636" s="9" t="str">
        <f t="shared" si="172"/>
        <v>https://www.ucreative.com</v>
      </c>
      <c r="I636" s="9" t="str">
        <f>IFERROR(__xludf.DUMMYFUNCTION("IF(REGEXMATCH(H636,""www""),RIGHT(H636,LEN(H636)-FIND(""."",H636)+0),if(regexmatch(H636,""https://""),right(H636,len(H636)-find(""/"",H636)-1),H636))"),"ucreative.com")</f>
        <v>ucreative.com</v>
      </c>
      <c r="J636" s="9" t="str">
        <f t="shared" si="173"/>
        <v>ucreative.com</v>
      </c>
      <c r="K636" s="9" t="s">
        <v>23</v>
      </c>
      <c r="L636" s="6" t="s">
        <v>176</v>
      </c>
      <c r="M636" s="8" t="str">
        <f t="shared" si="174"/>
        <v>https://newsapi.org/v2/everything?domains=ucreative.com&amp;apiKey=7d4cb29b783f48c8a1837901e959f134</v>
      </c>
      <c r="N636" s="6">
        <v>0.0</v>
      </c>
      <c r="O636" s="6" t="s">
        <v>25</v>
      </c>
      <c r="P636" s="6"/>
      <c r="Q636" s="6">
        <v>1.0</v>
      </c>
      <c r="R636" s="6" t="s">
        <v>26</v>
      </c>
      <c r="S636" s="6" t="s">
        <v>27</v>
      </c>
      <c r="T636" s="6" t="s">
        <v>52</v>
      </c>
    </row>
    <row r="637">
      <c r="B637" s="6" t="s">
        <v>1485</v>
      </c>
      <c r="C637" s="7" t="str">
        <f t="shared" si="1"/>
        <v/>
      </c>
      <c r="D637" s="7" t="s">
        <v>50</v>
      </c>
      <c r="E637" s="7">
        <v>100.0</v>
      </c>
      <c r="F637" s="7"/>
      <c r="G637" s="11" t="s">
        <v>1486</v>
      </c>
      <c r="H637" s="9" t="str">
        <f t="shared" si="172"/>
        <v>https://www.un.org</v>
      </c>
      <c r="I637" s="9" t="str">
        <f>IFERROR(__xludf.DUMMYFUNCTION("IF(REGEXMATCH(H637,""www""),RIGHT(H637,LEN(H637)-FIND(""."",H637)+0),if(regexmatch(H637,""https://""),right(H637,len(H637)-find(""/"",H637)-1),H637))"),"un.org")</f>
        <v>un.org</v>
      </c>
      <c r="J637" s="9" t="str">
        <f t="shared" si="173"/>
        <v>un.org</v>
      </c>
      <c r="K637" s="9" t="s">
        <v>23</v>
      </c>
      <c r="L637" s="6" t="s">
        <v>176</v>
      </c>
      <c r="M637" s="8" t="str">
        <f t="shared" si="174"/>
        <v>https://newsapi.org/v2/everything?domains=un.org&amp;apiKey=7d4cb29b783f48c8a1837901e959f134</v>
      </c>
      <c r="N637" s="6">
        <v>1.0</v>
      </c>
      <c r="O637" s="6" t="s">
        <v>25</v>
      </c>
      <c r="P637" s="6"/>
      <c r="Q637" s="6">
        <v>1.0</v>
      </c>
      <c r="R637" s="6" t="s">
        <v>26</v>
      </c>
      <c r="S637" s="6" t="s">
        <v>27</v>
      </c>
      <c r="T637" s="6" t="s">
        <v>241</v>
      </c>
    </row>
    <row r="638">
      <c r="B638" s="6" t="s">
        <v>1487</v>
      </c>
      <c r="C638" s="7" t="str">
        <f t="shared" si="1"/>
        <v/>
      </c>
      <c r="D638" s="7" t="s">
        <v>20</v>
      </c>
      <c r="E638" s="7"/>
      <c r="F638" s="8" t="s">
        <v>1488</v>
      </c>
      <c r="G638" s="8" t="s">
        <v>1489</v>
      </c>
      <c r="H638" s="9" t="str">
        <f t="shared" si="172"/>
        <v>https://www.unicef.org</v>
      </c>
      <c r="I638" s="9" t="str">
        <f>IFERROR(__xludf.DUMMYFUNCTION("IF(REGEXMATCH(H638,""www""),RIGHT(H638,LEN(H638)-FIND(""."",H638)+0),if(regexmatch(H638,""https://""),right(H638,len(H638)-find(""/"",H638)-1),H638))"),"unicef.org")</f>
        <v>unicef.org</v>
      </c>
      <c r="J638" s="9" t="str">
        <f t="shared" si="173"/>
        <v>unicef.org</v>
      </c>
      <c r="K638" s="9" t="s">
        <v>23</v>
      </c>
      <c r="L638" s="6" t="s">
        <v>176</v>
      </c>
      <c r="M638" s="8" t="str">
        <f t="shared" si="174"/>
        <v>https://newsapi.org/v2/everything?domains=unicef.org&amp;apiKey=7d4cb29b783f48c8a1837901e959f134</v>
      </c>
      <c r="N638" s="6">
        <v>0.0</v>
      </c>
      <c r="O638" s="6" t="s">
        <v>25</v>
      </c>
      <c r="P638" s="6"/>
      <c r="Q638" s="6">
        <v>1.0</v>
      </c>
      <c r="R638" s="6" t="s">
        <v>26</v>
      </c>
      <c r="S638" s="6" t="s">
        <v>27</v>
      </c>
      <c r="T638" s="6" t="s">
        <v>241</v>
      </c>
    </row>
    <row r="639">
      <c r="B639" s="6" t="s">
        <v>1490</v>
      </c>
      <c r="C639" s="7" t="str">
        <f t="shared" si="1"/>
        <v/>
      </c>
      <c r="D639" s="7" t="s">
        <v>30</v>
      </c>
      <c r="E639" s="7"/>
      <c r="F639" s="8" t="s">
        <v>1491</v>
      </c>
      <c r="G639" s="8" t="s">
        <v>1492</v>
      </c>
      <c r="H639" s="9" t="str">
        <f t="shared" si="172"/>
        <v>https://blog.seas.upenn.edu</v>
      </c>
      <c r="I639" s="9" t="str">
        <f>IFERROR(__xludf.DUMMYFUNCTION("IF(REGEXMATCH(H639,""www""),RIGHT(H639,LEN(H639)-FIND(""."",H639)+0),if(regexmatch(H639,""https://""),right(H639,len(H639)-find(""/"",H639)-1),H639))"),"blog.seas.upenn.edu")</f>
        <v>blog.seas.upenn.edu</v>
      </c>
      <c r="J639" s="9" t="str">
        <f t="shared" si="173"/>
        <v>blog.seas.upenn.edu</v>
      </c>
      <c r="K639" s="9" t="s">
        <v>23</v>
      </c>
      <c r="L639" s="6" t="s">
        <v>176</v>
      </c>
      <c r="M639" s="8" t="str">
        <f t="shared" si="174"/>
        <v>https://newsapi.org/v2/everything?domains=blog.seas.upenn.edu&amp;apiKey=7d4cb29b783f48c8a1837901e959f134</v>
      </c>
      <c r="N639" s="6">
        <v>0.0</v>
      </c>
      <c r="O639" s="6" t="s">
        <v>25</v>
      </c>
      <c r="P639" s="6"/>
      <c r="Q639" s="6">
        <v>1.0</v>
      </c>
      <c r="R639" s="6" t="s">
        <v>26</v>
      </c>
      <c r="S639" s="6" t="s">
        <v>27</v>
      </c>
      <c r="T639" s="6" t="s">
        <v>76</v>
      </c>
    </row>
    <row r="640">
      <c r="B640" s="6" t="s">
        <v>1493</v>
      </c>
      <c r="C640" s="7" t="str">
        <f t="shared" si="1"/>
        <v/>
      </c>
      <c r="D640" s="7" t="s">
        <v>20</v>
      </c>
      <c r="E640" s="1"/>
      <c r="F640" s="8" t="s">
        <v>1494</v>
      </c>
      <c r="G640" s="1"/>
      <c r="M640" s="1"/>
      <c r="N640" s="6">
        <v>1.0</v>
      </c>
      <c r="O640" s="6" t="s">
        <v>43</v>
      </c>
      <c r="P640" s="6"/>
      <c r="Q640" s="6">
        <v>1.0</v>
      </c>
      <c r="R640" s="6" t="s">
        <v>26</v>
      </c>
      <c r="S640" s="6" t="s">
        <v>27</v>
      </c>
      <c r="T640" s="6" t="s">
        <v>248</v>
      </c>
    </row>
    <row r="641">
      <c r="B641" s="6" t="s">
        <v>1495</v>
      </c>
      <c r="C641" s="7" t="str">
        <f t="shared" si="1"/>
        <v/>
      </c>
      <c r="D641" s="7" t="s">
        <v>50</v>
      </c>
      <c r="E641" s="12">
        <v>5.0</v>
      </c>
      <c r="F641" s="12"/>
      <c r="G641" s="11" t="s">
        <v>1496</v>
      </c>
      <c r="H641" s="9" t="str">
        <f>LEFT(G641, LEN(G641)-1)</f>
        <v>https://www.viget.com</v>
      </c>
      <c r="I641" s="9" t="str">
        <f>IFERROR(__xludf.DUMMYFUNCTION("IF(REGEXMATCH(H641,""www""),RIGHT(H641,LEN(H641)-FIND(""."",H641)+0),if(regexmatch(H641,""https://""),right(H641,len(H641)-find(""/"",H641)-1),H641))"),"viget.com")</f>
        <v>viget.com</v>
      </c>
      <c r="J641" s="9" t="str">
        <f>I641</f>
        <v>viget.com</v>
      </c>
      <c r="K641" s="9" t="s">
        <v>23</v>
      </c>
      <c r="L641" s="6" t="s">
        <v>24</v>
      </c>
      <c r="M641" s="8" t="str">
        <f>K641&amp;J641&amp;L641</f>
        <v>https://newsapi.org/v2/everything?domains=viget.com&amp;apiKey=ae2ad3e68d4e4daca149bbfb9b61c010</v>
      </c>
      <c r="N641" s="6">
        <v>0.0</v>
      </c>
      <c r="O641" s="6" t="s">
        <v>39</v>
      </c>
      <c r="P641" s="6"/>
      <c r="Q641" s="6">
        <v>1.0</v>
      </c>
      <c r="R641" s="6" t="s">
        <v>26</v>
      </c>
      <c r="S641" s="6" t="s">
        <v>27</v>
      </c>
      <c r="T641" s="6" t="s">
        <v>40</v>
      </c>
    </row>
    <row r="642">
      <c r="B642" s="6" t="s">
        <v>1497</v>
      </c>
      <c r="C642" s="7" t="str">
        <f t="shared" si="1"/>
        <v/>
      </c>
      <c r="D642" s="7" t="s">
        <v>30</v>
      </c>
      <c r="E642" s="7"/>
      <c r="F642" s="8" t="s">
        <v>1498</v>
      </c>
      <c r="G642" s="1"/>
      <c r="M642" s="1"/>
      <c r="N642" s="13">
        <v>1.0</v>
      </c>
      <c r="O642" s="14" t="s">
        <v>25</v>
      </c>
      <c r="P642" s="16"/>
      <c r="Q642" s="15">
        <v>1.0</v>
      </c>
      <c r="R642" s="6" t="s">
        <v>26</v>
      </c>
      <c r="S642" s="14" t="s">
        <v>27</v>
      </c>
      <c r="T642" s="16" t="s">
        <v>76</v>
      </c>
    </row>
    <row r="643">
      <c r="B643" s="6" t="s">
        <v>1499</v>
      </c>
      <c r="C643" s="7" t="str">
        <f t="shared" si="1"/>
        <v/>
      </c>
      <c r="D643" s="7" t="s">
        <v>30</v>
      </c>
      <c r="E643" s="12"/>
      <c r="F643" s="11" t="s">
        <v>1500</v>
      </c>
      <c r="G643" s="11" t="s">
        <v>1501</v>
      </c>
      <c r="H643" s="9" t="str">
        <f>LEFT(G643, LEN(G643)-1)</f>
        <v>https://cepr.org</v>
      </c>
      <c r="I643" s="9" t="str">
        <f>IFERROR(__xludf.DUMMYFUNCTION("IF(REGEXMATCH(H643,""www""),RIGHT(H643,LEN(H643)-FIND(""."",H643)+0),if(regexmatch(H643,""https://""),right(H643,len(H643)-find(""/"",H643)-1),H643))"),"cepr.org")</f>
        <v>cepr.org</v>
      </c>
      <c r="J643" s="9" t="str">
        <f>I643</f>
        <v>cepr.org</v>
      </c>
      <c r="K643" s="9" t="s">
        <v>23</v>
      </c>
      <c r="L643" s="6" t="s">
        <v>176</v>
      </c>
      <c r="M643" s="8" t="str">
        <f>K643&amp;J643&amp;L643</f>
        <v>https://newsapi.org/v2/everything?domains=cepr.org&amp;apiKey=7d4cb29b783f48c8a1837901e959f134</v>
      </c>
      <c r="N643" s="6">
        <v>0.0</v>
      </c>
      <c r="O643" s="6" t="s">
        <v>25</v>
      </c>
      <c r="P643" s="6"/>
      <c r="Q643" s="6">
        <v>1.0</v>
      </c>
      <c r="R643" s="6" t="s">
        <v>26</v>
      </c>
      <c r="S643" s="6" t="s">
        <v>27</v>
      </c>
      <c r="T643" s="6" t="s">
        <v>248</v>
      </c>
    </row>
    <row r="644">
      <c r="B644" s="6" t="s">
        <v>1502</v>
      </c>
      <c r="C644" s="7" t="str">
        <f t="shared" si="1"/>
        <v>Wallpaper</v>
      </c>
      <c r="D644" s="7" t="s">
        <v>30</v>
      </c>
      <c r="E644" s="1"/>
      <c r="F644" s="8" t="s">
        <v>1503</v>
      </c>
      <c r="G644" s="1"/>
      <c r="M644" s="1"/>
      <c r="N644" s="6">
        <v>0.0</v>
      </c>
      <c r="O644" s="6" t="s">
        <v>25</v>
      </c>
      <c r="P644" s="6"/>
      <c r="Q644" s="6">
        <v>1.0</v>
      </c>
      <c r="R644" s="6" t="s">
        <v>26</v>
      </c>
      <c r="S644" s="6" t="s">
        <v>27</v>
      </c>
      <c r="T644" s="6" t="s">
        <v>61</v>
      </c>
    </row>
    <row r="645">
      <c r="B645" s="6" t="s">
        <v>1504</v>
      </c>
      <c r="C645" s="7" t="str">
        <f t="shared" si="1"/>
        <v>Wallpaper</v>
      </c>
      <c r="D645" s="7" t="s">
        <v>30</v>
      </c>
      <c r="E645" s="1"/>
      <c r="F645" s="8" t="s">
        <v>1505</v>
      </c>
      <c r="G645" s="1"/>
      <c r="M645" s="1"/>
      <c r="N645" s="6">
        <v>0.0</v>
      </c>
      <c r="O645" s="6" t="s">
        <v>25</v>
      </c>
      <c r="P645" s="6"/>
      <c r="Q645" s="6">
        <v>1.0</v>
      </c>
      <c r="R645" s="6" t="s">
        <v>26</v>
      </c>
      <c r="S645" s="6" t="s">
        <v>27</v>
      </c>
      <c r="T645" s="6" t="s">
        <v>67</v>
      </c>
    </row>
    <row r="646">
      <c r="B646" s="6" t="s">
        <v>1506</v>
      </c>
      <c r="C646" s="7" t="str">
        <f t="shared" si="1"/>
        <v>Wallpaper</v>
      </c>
      <c r="D646" s="7" t="s">
        <v>30</v>
      </c>
      <c r="E646" s="1"/>
      <c r="F646" s="8" t="s">
        <v>1507</v>
      </c>
      <c r="G646" s="1"/>
      <c r="M646" s="1"/>
      <c r="N646" s="6">
        <v>0.0</v>
      </c>
      <c r="O646" s="6" t="s">
        <v>25</v>
      </c>
      <c r="P646" s="6"/>
      <c r="Q646" s="6">
        <v>1.0</v>
      </c>
      <c r="R646" s="6" t="s">
        <v>26</v>
      </c>
      <c r="S646" s="6" t="s">
        <v>27</v>
      </c>
      <c r="T646" s="6" t="s">
        <v>52</v>
      </c>
    </row>
    <row r="647">
      <c r="B647" s="6" t="s">
        <v>1508</v>
      </c>
      <c r="C647" s="7" t="str">
        <f t="shared" si="1"/>
        <v>Wallpaper</v>
      </c>
      <c r="D647" s="7" t="s">
        <v>30</v>
      </c>
      <c r="E647" s="1"/>
      <c r="F647" s="8" t="s">
        <v>1509</v>
      </c>
      <c r="G647" s="1"/>
      <c r="M647" s="1"/>
      <c r="N647" s="6">
        <v>0.0</v>
      </c>
      <c r="O647" s="6" t="s">
        <v>25</v>
      </c>
      <c r="P647" s="6"/>
      <c r="Q647" s="6">
        <v>1.0</v>
      </c>
      <c r="R647" s="6" t="s">
        <v>26</v>
      </c>
      <c r="S647" s="6" t="s">
        <v>27</v>
      </c>
      <c r="T647" s="6" t="s">
        <v>44</v>
      </c>
    </row>
    <row r="648">
      <c r="B648" s="6" t="s">
        <v>1510</v>
      </c>
      <c r="C648" s="7" t="str">
        <f t="shared" si="1"/>
        <v>Wallpaper</v>
      </c>
      <c r="D648" s="7" t="s">
        <v>30</v>
      </c>
      <c r="E648" s="1"/>
      <c r="F648" s="8" t="s">
        <v>1511</v>
      </c>
      <c r="G648" s="1"/>
      <c r="M648" s="1"/>
      <c r="N648" s="6">
        <v>1.0</v>
      </c>
      <c r="O648" s="6" t="s">
        <v>25</v>
      </c>
      <c r="P648" s="6"/>
      <c r="Q648" s="6">
        <v>1.0</v>
      </c>
      <c r="R648" s="6" t="s">
        <v>26</v>
      </c>
      <c r="S648" s="6" t="s">
        <v>27</v>
      </c>
      <c r="T648" s="6" t="s">
        <v>285</v>
      </c>
    </row>
    <row r="649">
      <c r="B649" s="6" t="s">
        <v>1512</v>
      </c>
      <c r="C649" s="7" t="str">
        <f t="shared" si="1"/>
        <v>Wallpaper</v>
      </c>
      <c r="D649" s="7" t="s">
        <v>30</v>
      </c>
      <c r="E649" s="1"/>
      <c r="F649" s="8" t="s">
        <v>1513</v>
      </c>
      <c r="G649" s="1"/>
      <c r="M649" s="1"/>
      <c r="N649" s="6">
        <v>1.0</v>
      </c>
      <c r="O649" s="6" t="s">
        <v>25</v>
      </c>
      <c r="P649" s="6"/>
      <c r="Q649" s="6">
        <v>1.0</v>
      </c>
      <c r="R649" s="6" t="s">
        <v>26</v>
      </c>
      <c r="S649" s="6" t="s">
        <v>27</v>
      </c>
      <c r="T649" s="6" t="s">
        <v>76</v>
      </c>
    </row>
    <row r="650">
      <c r="B650" s="6" t="s">
        <v>1514</v>
      </c>
      <c r="C650" s="7" t="str">
        <f t="shared" si="1"/>
        <v>Wallpaper</v>
      </c>
      <c r="D650" s="7" t="s">
        <v>30</v>
      </c>
      <c r="E650" s="1"/>
      <c r="F650" s="8" t="s">
        <v>1515</v>
      </c>
      <c r="G650" s="1"/>
      <c r="M650" s="1"/>
      <c r="N650" s="6">
        <v>1.0</v>
      </c>
      <c r="O650" s="6" t="s">
        <v>25</v>
      </c>
      <c r="P650" s="6"/>
      <c r="Q650" s="6">
        <v>1.0</v>
      </c>
      <c r="R650" s="6" t="s">
        <v>26</v>
      </c>
      <c r="S650" s="6" t="s">
        <v>27</v>
      </c>
      <c r="T650" s="6" t="s">
        <v>374</v>
      </c>
    </row>
    <row r="651">
      <c r="B651" s="6" t="s">
        <v>1516</v>
      </c>
      <c r="C651" s="7" t="str">
        <f t="shared" si="1"/>
        <v>Wallpaper</v>
      </c>
      <c r="D651" s="7" t="s">
        <v>30</v>
      </c>
      <c r="E651" s="1"/>
      <c r="F651" s="8" t="s">
        <v>1517</v>
      </c>
      <c r="G651" s="1"/>
      <c r="M651" s="1"/>
      <c r="N651" s="6">
        <v>1.0</v>
      </c>
      <c r="O651" s="6" t="s">
        <v>25</v>
      </c>
      <c r="P651" s="6"/>
      <c r="Q651" s="6">
        <v>1.0</v>
      </c>
      <c r="R651" s="6" t="s">
        <v>26</v>
      </c>
      <c r="S651" s="6" t="s">
        <v>27</v>
      </c>
      <c r="T651" s="6" t="s">
        <v>285</v>
      </c>
    </row>
    <row r="652">
      <c r="B652" s="6" t="s">
        <v>1518</v>
      </c>
      <c r="C652" s="7" t="str">
        <f t="shared" si="1"/>
        <v/>
      </c>
      <c r="D652" s="7" t="s">
        <v>20</v>
      </c>
      <c r="E652" s="7"/>
      <c r="F652" s="8" t="s">
        <v>1519</v>
      </c>
      <c r="G652" s="8" t="s">
        <v>1520</v>
      </c>
      <c r="H652" s="9" t="str">
        <f>LEFT(G652, LEN(G652)-1)</f>
        <v>https://waltoriouswritesaboutgames.com</v>
      </c>
      <c r="I652" s="9" t="str">
        <f>IFERROR(__xludf.DUMMYFUNCTION("IF(REGEXMATCH(H652,""www""),RIGHT(H652,LEN(H652)-FIND(""."",H652)+0),if(regexmatch(H652,""https://""),right(H652,len(H652)-find(""/"",H652)-1),H652))"),"waltoriouswritesaboutgames.com")</f>
        <v>waltoriouswritesaboutgames.com</v>
      </c>
      <c r="J652" s="9" t="str">
        <f>I652</f>
        <v>waltoriouswritesaboutgames.com</v>
      </c>
      <c r="K652" s="9" t="s">
        <v>23</v>
      </c>
      <c r="L652" s="6" t="s">
        <v>176</v>
      </c>
      <c r="M652" s="8" t="str">
        <f>K652&amp;J652&amp;L652</f>
        <v>https://newsapi.org/v2/everything?domains=waltoriouswritesaboutgames.com&amp;apiKey=7d4cb29b783f48c8a1837901e959f134</v>
      </c>
      <c r="N652" s="6">
        <v>0.0</v>
      </c>
      <c r="O652" s="6" t="s">
        <v>39</v>
      </c>
      <c r="P652" s="6"/>
      <c r="Q652" s="6">
        <v>1.0</v>
      </c>
      <c r="R652" s="6" t="s">
        <v>26</v>
      </c>
      <c r="S652" s="6" t="s">
        <v>27</v>
      </c>
      <c r="T652" s="6" t="s">
        <v>187</v>
      </c>
    </row>
    <row r="653">
      <c r="B653" s="6" t="s">
        <v>1521</v>
      </c>
      <c r="C653" s="7" t="str">
        <f t="shared" si="1"/>
        <v/>
      </c>
      <c r="D653" s="16" t="s">
        <v>20</v>
      </c>
      <c r="E653" s="12"/>
      <c r="F653" s="11" t="s">
        <v>1522</v>
      </c>
      <c r="G653" s="7"/>
      <c r="M653" s="1"/>
      <c r="N653" s="6">
        <v>1.0</v>
      </c>
      <c r="O653" s="6" t="s">
        <v>43</v>
      </c>
      <c r="P653" s="6">
        <v>1.0</v>
      </c>
      <c r="Q653" s="6">
        <v>1.0</v>
      </c>
      <c r="R653" s="6" t="s">
        <v>26</v>
      </c>
      <c r="S653" s="6" t="s">
        <v>27</v>
      </c>
      <c r="T653" s="6" t="s">
        <v>248</v>
      </c>
    </row>
    <row r="654">
      <c r="B654" s="6" t="s">
        <v>1523</v>
      </c>
      <c r="C654" s="7" t="str">
        <f t="shared" si="1"/>
        <v/>
      </c>
      <c r="D654" s="7" t="s">
        <v>50</v>
      </c>
      <c r="E654" s="7"/>
      <c r="F654" s="7"/>
      <c r="G654" s="8" t="s">
        <v>1524</v>
      </c>
      <c r="H654" s="9" t="str">
        <f>LEFT(G654, LEN(G654)-1)</f>
        <v>https://www.weforum.org</v>
      </c>
      <c r="I654" s="9" t="str">
        <f>IFERROR(__xludf.DUMMYFUNCTION("IF(REGEXMATCH(H654,""www""),RIGHT(H654,LEN(H654)-FIND(""."",H654)+0),if(regexmatch(H654,""https://""),right(H654,len(H654)-find(""/"",H654)-1),H654))"),"weforum.org")</f>
        <v>weforum.org</v>
      </c>
      <c r="J654" s="9" t="str">
        <f>I654</f>
        <v>weforum.org</v>
      </c>
      <c r="K654" s="9" t="s">
        <v>23</v>
      </c>
      <c r="L654" s="6" t="s">
        <v>24</v>
      </c>
      <c r="M654" s="8" t="str">
        <f>K654&amp;J654&amp;L654</f>
        <v>https://newsapi.org/v2/everything?domains=weforum.org&amp;apiKey=ae2ad3e68d4e4daca149bbfb9b61c010</v>
      </c>
      <c r="N654" s="6">
        <v>0.0</v>
      </c>
      <c r="O654" s="6" t="s">
        <v>25</v>
      </c>
      <c r="P654" s="6"/>
      <c r="Q654" s="6">
        <v>1.0</v>
      </c>
      <c r="R654" s="6" t="s">
        <v>26</v>
      </c>
      <c r="S654" s="6" t="s">
        <v>27</v>
      </c>
      <c r="T654" s="6" t="s">
        <v>223</v>
      </c>
    </row>
    <row r="655">
      <c r="B655" s="6" t="s">
        <v>1525</v>
      </c>
      <c r="C655" s="7" t="str">
        <f t="shared" si="1"/>
        <v/>
      </c>
      <c r="D655" s="7" t="s">
        <v>20</v>
      </c>
      <c r="E655" s="1"/>
      <c r="F655" s="8" t="s">
        <v>1526</v>
      </c>
      <c r="G655" s="1"/>
      <c r="M655" s="1"/>
      <c r="N655" s="6">
        <v>1.0</v>
      </c>
      <c r="O655" s="6" t="s">
        <v>25</v>
      </c>
      <c r="P655" s="6"/>
      <c r="Q655" s="6">
        <v>1.0</v>
      </c>
      <c r="R655" s="6" t="s">
        <v>26</v>
      </c>
      <c r="S655" s="6" t="s">
        <v>27</v>
      </c>
      <c r="T655" s="6" t="s">
        <v>285</v>
      </c>
    </row>
    <row r="656">
      <c r="B656" s="6" t="s">
        <v>1527</v>
      </c>
      <c r="C656" s="7" t="str">
        <f t="shared" si="1"/>
        <v/>
      </c>
      <c r="D656" s="16" t="s">
        <v>20</v>
      </c>
      <c r="E656" s="12"/>
      <c r="F656" s="11" t="s">
        <v>1528</v>
      </c>
      <c r="G656" s="7"/>
      <c r="M656" s="1"/>
      <c r="N656" s="6">
        <v>0.0</v>
      </c>
      <c r="O656" s="6" t="s">
        <v>43</v>
      </c>
      <c r="P656" s="6"/>
      <c r="Q656" s="6">
        <v>1.0</v>
      </c>
      <c r="R656" s="6" t="s">
        <v>26</v>
      </c>
      <c r="S656" s="6" t="s">
        <v>27</v>
      </c>
      <c r="T656" s="6" t="s">
        <v>70</v>
      </c>
    </row>
    <row r="657">
      <c r="B657" s="14" t="s">
        <v>1529</v>
      </c>
      <c r="C657" s="7" t="str">
        <f t="shared" si="1"/>
        <v/>
      </c>
      <c r="D657" s="16" t="s">
        <v>50</v>
      </c>
      <c r="E657" s="20">
        <v>100.0</v>
      </c>
      <c r="F657" s="19"/>
      <c r="G657" s="17" t="s">
        <v>1530</v>
      </c>
      <c r="H657" s="9" t="str">
        <f>LEFT(G657, LEN(G657)-1)</f>
        <v>https://www.wired.com</v>
      </c>
      <c r="I657" s="9" t="str">
        <f>IFERROR(__xludf.DUMMYFUNCTION("IF(REGEXMATCH(H657,""www""),RIGHT(H657,LEN(H657)-FIND(""."",H657)+0),if(regexmatch(H657,""https://""),right(H657,len(H657)-find(""/"",H657)-1),H657))"),"wired.com")</f>
        <v>wired.com</v>
      </c>
      <c r="J657" s="9" t="str">
        <f>I657</f>
        <v>wired.com</v>
      </c>
      <c r="K657" s="9" t="s">
        <v>23</v>
      </c>
      <c r="L657" s="6" t="s">
        <v>24</v>
      </c>
      <c r="M657" s="8" t="str">
        <f>K657&amp;J657&amp;L657</f>
        <v>https://newsapi.org/v2/everything?domains=wired.com&amp;apiKey=ae2ad3e68d4e4daca149bbfb9b61c010</v>
      </c>
      <c r="N657" s="15">
        <v>1.0</v>
      </c>
      <c r="O657" s="14" t="s">
        <v>25</v>
      </c>
      <c r="P657" s="15">
        <v>1.0</v>
      </c>
      <c r="Q657" s="15">
        <v>1.0</v>
      </c>
      <c r="R657" s="6" t="s">
        <v>26</v>
      </c>
      <c r="S657" s="14" t="s">
        <v>27</v>
      </c>
      <c r="T657" s="14" t="s">
        <v>76</v>
      </c>
    </row>
    <row r="658">
      <c r="B658" s="6" t="s">
        <v>1531</v>
      </c>
      <c r="C658" s="7" t="str">
        <f t="shared" si="1"/>
        <v/>
      </c>
      <c r="D658" s="7" t="s">
        <v>20</v>
      </c>
      <c r="E658" s="1"/>
      <c r="F658" s="8" t="s">
        <v>1532</v>
      </c>
      <c r="G658" s="1"/>
      <c r="M658" s="1"/>
      <c r="N658" s="6">
        <v>0.0</v>
      </c>
      <c r="O658" s="6" t="s">
        <v>25</v>
      </c>
      <c r="P658" s="6"/>
      <c r="Q658" s="6">
        <v>1.0</v>
      </c>
      <c r="R658" s="6" t="s">
        <v>26</v>
      </c>
      <c r="S658" s="6" t="s">
        <v>27</v>
      </c>
      <c r="T658" s="6" t="s">
        <v>28</v>
      </c>
    </row>
    <row r="659">
      <c r="B659" s="6" t="s">
        <v>1533</v>
      </c>
      <c r="C659" s="7" t="str">
        <f t="shared" si="1"/>
        <v/>
      </c>
      <c r="D659" s="16" t="s">
        <v>20</v>
      </c>
      <c r="E659" s="12"/>
      <c r="F659" s="11" t="s">
        <v>1534</v>
      </c>
      <c r="G659" s="7"/>
      <c r="M659" s="1"/>
      <c r="N659" s="6">
        <v>0.0</v>
      </c>
      <c r="O659" s="6" t="s">
        <v>43</v>
      </c>
      <c r="P659" s="6"/>
      <c r="Q659" s="6">
        <v>1.0</v>
      </c>
      <c r="R659" s="6" t="s">
        <v>26</v>
      </c>
      <c r="S659" s="6" t="s">
        <v>27</v>
      </c>
      <c r="T659" s="6" t="s">
        <v>90</v>
      </c>
    </row>
    <row r="660">
      <c r="B660" s="6" t="s">
        <v>1535</v>
      </c>
      <c r="C660" s="7" t="str">
        <f t="shared" si="1"/>
        <v/>
      </c>
      <c r="D660" s="7" t="s">
        <v>20</v>
      </c>
      <c r="E660" s="7"/>
      <c r="F660" s="8" t="s">
        <v>1536</v>
      </c>
      <c r="G660" s="8" t="s">
        <v>1537</v>
      </c>
      <c r="H660" s="9" t="str">
        <f t="shared" ref="H660:H661" si="175">LEFT(G660, LEN(G660)-1)</f>
        <v>https://www.worksinprogress.co</v>
      </c>
      <c r="I660" s="9" t="str">
        <f>IFERROR(__xludf.DUMMYFUNCTION("IF(REGEXMATCH(H660,""www""),RIGHT(H660,LEN(H660)-FIND(""."",H660)+0),if(regexmatch(H660,""https://""),right(H660,len(H660)-find(""/"",H660)-1),H660))"),"worksinprogress.co")</f>
        <v>worksinprogress.co</v>
      </c>
      <c r="J660" s="9" t="str">
        <f t="shared" ref="J660:J661" si="176">I660</f>
        <v>worksinprogress.co</v>
      </c>
      <c r="K660" s="9" t="s">
        <v>23</v>
      </c>
      <c r="L660" s="6" t="s">
        <v>176</v>
      </c>
      <c r="M660" s="8" t="str">
        <f t="shared" ref="M660:M661" si="177">K660&amp;J660&amp;L660</f>
        <v>https://newsapi.org/v2/everything?domains=worksinprogress.co&amp;apiKey=7d4cb29b783f48c8a1837901e959f134</v>
      </c>
      <c r="N660" s="6">
        <v>0.0</v>
      </c>
      <c r="O660" s="6" t="s">
        <v>43</v>
      </c>
      <c r="P660" s="6"/>
      <c r="Q660" s="6">
        <v>1.0</v>
      </c>
      <c r="R660" s="6" t="s">
        <v>26</v>
      </c>
      <c r="S660" s="6" t="s">
        <v>27</v>
      </c>
      <c r="T660" s="6" t="s">
        <v>131</v>
      </c>
    </row>
    <row r="661">
      <c r="B661" s="6" t="s">
        <v>1538</v>
      </c>
      <c r="C661" s="7" t="str">
        <f t="shared" si="1"/>
        <v/>
      </c>
      <c r="D661" s="7" t="s">
        <v>30</v>
      </c>
      <c r="E661" s="12"/>
      <c r="F661" s="11" t="s">
        <v>1539</v>
      </c>
      <c r="G661" s="11" t="s">
        <v>1540</v>
      </c>
      <c r="H661" s="9" t="str">
        <f t="shared" si="175"/>
        <v>https://www.worldbank.org</v>
      </c>
      <c r="I661" s="9" t="str">
        <f>IFERROR(__xludf.DUMMYFUNCTION("IF(REGEXMATCH(H661,""www""),RIGHT(H661,LEN(H661)-FIND(""."",H661)+0),if(regexmatch(H661,""https://""),right(H661,len(H661)-find(""/"",H661)-1),H661))"),"worldbank.org")</f>
        <v>worldbank.org</v>
      </c>
      <c r="J661" s="9" t="str">
        <f t="shared" si="176"/>
        <v>worldbank.org</v>
      </c>
      <c r="K661" s="9" t="s">
        <v>23</v>
      </c>
      <c r="L661" s="6" t="s">
        <v>176</v>
      </c>
      <c r="M661" s="8" t="str">
        <f t="shared" si="177"/>
        <v>https://newsapi.org/v2/everything?domains=worldbank.org&amp;apiKey=7d4cb29b783f48c8a1837901e959f134</v>
      </c>
      <c r="N661" s="6">
        <v>1.0</v>
      </c>
      <c r="O661" s="6" t="s">
        <v>25</v>
      </c>
      <c r="P661" s="6"/>
      <c r="Q661" s="6">
        <v>1.0</v>
      </c>
      <c r="R661" s="6" t="s">
        <v>26</v>
      </c>
      <c r="S661" s="6" t="s">
        <v>27</v>
      </c>
      <c r="T661" s="6" t="s">
        <v>48</v>
      </c>
    </row>
    <row r="662">
      <c r="B662" s="6" t="s">
        <v>1541</v>
      </c>
      <c r="C662" s="7" t="str">
        <f t="shared" si="1"/>
        <v>World Health Organization</v>
      </c>
      <c r="D662" s="7" t="s">
        <v>20</v>
      </c>
      <c r="E662" s="1"/>
      <c r="F662" s="8" t="s">
        <v>1542</v>
      </c>
      <c r="G662" s="1"/>
      <c r="M662" s="1"/>
      <c r="N662" s="6">
        <v>0.0</v>
      </c>
      <c r="O662" s="6" t="s">
        <v>25</v>
      </c>
      <c r="P662" s="6"/>
      <c r="Q662" s="6">
        <v>1.0</v>
      </c>
      <c r="R662" s="6" t="s">
        <v>26</v>
      </c>
      <c r="S662" s="6" t="s">
        <v>27</v>
      </c>
      <c r="T662" s="6" t="s">
        <v>241</v>
      </c>
    </row>
    <row r="663">
      <c r="B663" s="6" t="s">
        <v>1543</v>
      </c>
      <c r="C663" s="7" t="str">
        <f t="shared" si="1"/>
        <v>World Health Organization</v>
      </c>
      <c r="D663" s="7" t="s">
        <v>20</v>
      </c>
      <c r="E663" s="1"/>
      <c r="F663" s="8" t="s">
        <v>1544</v>
      </c>
      <c r="G663" s="1"/>
      <c r="M663" s="1"/>
      <c r="N663" s="6">
        <v>0.0</v>
      </c>
      <c r="O663" s="6" t="s">
        <v>25</v>
      </c>
      <c r="P663" s="6"/>
      <c r="Q663" s="6">
        <v>1.0</v>
      </c>
      <c r="R663" s="6" t="s">
        <v>26</v>
      </c>
      <c r="S663" s="6" t="s">
        <v>27</v>
      </c>
      <c r="T663" s="6" t="s">
        <v>241</v>
      </c>
    </row>
    <row r="664">
      <c r="B664" s="6" t="s">
        <v>1545</v>
      </c>
      <c r="C664" s="7" t="str">
        <f t="shared" si="1"/>
        <v/>
      </c>
      <c r="D664" s="7" t="s">
        <v>50</v>
      </c>
      <c r="E664" s="7">
        <v>100.0</v>
      </c>
      <c r="F664" s="1"/>
      <c r="G664" s="8" t="s">
        <v>1546</v>
      </c>
      <c r="H664" s="9" t="str">
        <f t="shared" ref="H664:H665" si="178">LEFT(G664, LEN(G664)-1)</f>
        <v>https://wwd.com</v>
      </c>
      <c r="I664" s="9" t="str">
        <f>IFERROR(__xludf.DUMMYFUNCTION("IF(REGEXMATCH(H664,""www""),RIGHT(H664,LEN(H664)-FIND(""."",H664)+0),if(regexmatch(H664,""https://""),right(H664,len(H664)-find(""/"",H664)-1),H664))"),"wwd.com")</f>
        <v>wwd.com</v>
      </c>
      <c r="J664" s="9" t="str">
        <f t="shared" ref="J664:J665" si="179">I664</f>
        <v>wwd.com</v>
      </c>
      <c r="K664" s="9" t="s">
        <v>23</v>
      </c>
      <c r="L664" s="6" t="s">
        <v>24</v>
      </c>
      <c r="M664" s="8" t="str">
        <f t="shared" ref="M664:M665" si="180">K664&amp;J664&amp;L664</f>
        <v>https://newsapi.org/v2/everything?domains=wwd.com&amp;apiKey=ae2ad3e68d4e4daca149bbfb9b61c010</v>
      </c>
      <c r="N664" s="6">
        <v>1.0</v>
      </c>
      <c r="O664" s="6" t="s">
        <v>25</v>
      </c>
      <c r="P664" s="6">
        <v>1.0</v>
      </c>
      <c r="Q664" s="6">
        <v>1.0</v>
      </c>
      <c r="R664" s="6" t="s">
        <v>26</v>
      </c>
      <c r="S664" s="6" t="s">
        <v>27</v>
      </c>
      <c r="T664" s="6" t="s">
        <v>285</v>
      </c>
    </row>
    <row r="665">
      <c r="B665" s="6" t="s">
        <v>1547</v>
      </c>
      <c r="C665" s="7" t="str">
        <f t="shared" si="1"/>
        <v/>
      </c>
      <c r="D665" s="7" t="s">
        <v>20</v>
      </c>
      <c r="E665" s="7"/>
      <c r="F665" s="8" t="s">
        <v>1548</v>
      </c>
      <c r="G665" s="11" t="s">
        <v>1549</v>
      </c>
      <c r="H665" s="9" t="str">
        <f t="shared" si="178"/>
        <v>Xeiaso.net</v>
      </c>
      <c r="I665" s="9" t="str">
        <f>IFERROR(__xludf.DUMMYFUNCTION("IF(REGEXMATCH(H665,""www""),RIGHT(H665,LEN(H665)-FIND(""."",H665)+0),if(regexmatch(H665,""https://""),right(H665,len(H665)-find(""/"",H665)-1),H665))"),"Xeiaso.net")</f>
        <v>Xeiaso.net</v>
      </c>
      <c r="J665" s="9" t="str">
        <f t="shared" si="179"/>
        <v>Xeiaso.net</v>
      </c>
      <c r="K665" s="9" t="s">
        <v>23</v>
      </c>
      <c r="L665" s="6" t="s">
        <v>24</v>
      </c>
      <c r="M665" s="8" t="str">
        <f t="shared" si="180"/>
        <v>https://newsapi.org/v2/everything?domains=Xeiaso.net&amp;apiKey=ae2ad3e68d4e4daca149bbfb9b61c010</v>
      </c>
      <c r="N665" s="6">
        <v>0.0</v>
      </c>
      <c r="O665" s="6" t="s">
        <v>39</v>
      </c>
      <c r="P665" s="6"/>
      <c r="Q665" s="6">
        <v>1.0</v>
      </c>
      <c r="R665" s="6" t="s">
        <v>26</v>
      </c>
      <c r="S665" s="6" t="s">
        <v>27</v>
      </c>
      <c r="T665" s="6" t="s">
        <v>145</v>
      </c>
    </row>
    <row r="666">
      <c r="B666" s="6" t="s">
        <v>1550</v>
      </c>
      <c r="C666" s="7" t="str">
        <f t="shared" si="1"/>
        <v>Yale</v>
      </c>
      <c r="D666" s="6" t="s">
        <v>30</v>
      </c>
      <c r="E666" s="7"/>
      <c r="F666" s="8" t="s">
        <v>1551</v>
      </c>
      <c r="G666" s="7"/>
      <c r="H666" s="10"/>
      <c r="I666" s="10"/>
      <c r="J666" s="10"/>
      <c r="K666" s="10"/>
      <c r="L666" s="6"/>
      <c r="M666" s="7"/>
      <c r="N666" s="6">
        <v>0.0</v>
      </c>
      <c r="O666" s="6" t="s">
        <v>25</v>
      </c>
      <c r="P666" s="6"/>
      <c r="Q666" s="6">
        <v>1.0</v>
      </c>
      <c r="R666" s="6" t="s">
        <v>26</v>
      </c>
      <c r="S666" s="6" t="s">
        <v>27</v>
      </c>
      <c r="T666" s="6" t="s">
        <v>48</v>
      </c>
    </row>
    <row r="667">
      <c r="B667" s="6" t="s">
        <v>1552</v>
      </c>
      <c r="C667" s="7" t="str">
        <f t="shared" si="1"/>
        <v>Yale</v>
      </c>
      <c r="D667" s="6" t="s">
        <v>30</v>
      </c>
      <c r="E667" s="7"/>
      <c r="F667" s="8" t="s">
        <v>1553</v>
      </c>
      <c r="G667" s="7"/>
      <c r="H667" s="10"/>
      <c r="I667" s="10"/>
      <c r="J667" s="10"/>
      <c r="K667" s="10"/>
      <c r="L667" s="6"/>
      <c r="M667" s="7"/>
      <c r="N667" s="6">
        <v>0.0</v>
      </c>
      <c r="O667" s="6" t="s">
        <v>25</v>
      </c>
      <c r="P667" s="6"/>
      <c r="Q667" s="6">
        <v>1.0</v>
      </c>
      <c r="R667" s="6" t="s">
        <v>26</v>
      </c>
      <c r="S667" s="6" t="s">
        <v>27</v>
      </c>
      <c r="T667" s="6" t="s">
        <v>64</v>
      </c>
    </row>
    <row r="668">
      <c r="B668" s="6" t="s">
        <v>1554</v>
      </c>
      <c r="C668" s="7" t="str">
        <f t="shared" si="1"/>
        <v>Yale</v>
      </c>
      <c r="D668" s="6" t="s">
        <v>30</v>
      </c>
      <c r="E668" s="7"/>
      <c r="F668" s="8" t="s">
        <v>1555</v>
      </c>
      <c r="G668" s="7"/>
      <c r="H668" s="10"/>
      <c r="I668" s="10"/>
      <c r="J668" s="10"/>
      <c r="K668" s="10"/>
      <c r="L668" s="6"/>
      <c r="M668" s="7"/>
      <c r="N668" s="6">
        <v>0.0</v>
      </c>
      <c r="O668" s="6" t="s">
        <v>25</v>
      </c>
      <c r="P668" s="6"/>
      <c r="Q668" s="6">
        <v>1.0</v>
      </c>
      <c r="R668" s="6" t="s">
        <v>26</v>
      </c>
      <c r="S668" s="6" t="s">
        <v>27</v>
      </c>
      <c r="T668" s="6" t="s">
        <v>48</v>
      </c>
    </row>
    <row r="669">
      <c r="B669" s="6" t="s">
        <v>1556</v>
      </c>
      <c r="C669" s="7" t="str">
        <f t="shared" si="1"/>
        <v>Yale</v>
      </c>
      <c r="D669" s="7" t="s">
        <v>20</v>
      </c>
      <c r="E669" s="7"/>
      <c r="F669" s="8" t="s">
        <v>1557</v>
      </c>
      <c r="G669" s="8" t="s">
        <v>1558</v>
      </c>
      <c r="H669" s="9" t="str">
        <f>LEFT(G669, LEN(G669)-1)</f>
        <v>https://yaleclimateconnections.org</v>
      </c>
      <c r="I669" s="9" t="str">
        <f>IFERROR(__xludf.DUMMYFUNCTION("IF(REGEXMATCH(H669,""www""),RIGHT(H669,LEN(H669)-FIND(""."",H669)+0),if(regexmatch(H669,""https://""),right(H669,len(H669)-find(""/"",H669)-1),H669))"),"yaleclimateconnections.org")</f>
        <v>yaleclimateconnections.org</v>
      </c>
      <c r="J669" s="9" t="str">
        <f>I669</f>
        <v>yaleclimateconnections.org</v>
      </c>
      <c r="K669" s="9" t="s">
        <v>23</v>
      </c>
      <c r="L669" s="6" t="s">
        <v>176</v>
      </c>
      <c r="M669" s="8" t="str">
        <f>K669&amp;J669&amp;L669</f>
        <v>https://newsapi.org/v2/everything?domains=yaleclimateconnections.org&amp;apiKey=7d4cb29b783f48c8a1837901e959f134</v>
      </c>
      <c r="N669" s="6">
        <v>0.0</v>
      </c>
      <c r="O669" s="6" t="s">
        <v>25</v>
      </c>
      <c r="P669" s="6"/>
      <c r="Q669" s="6">
        <v>1.0</v>
      </c>
      <c r="R669" s="6" t="s">
        <v>26</v>
      </c>
      <c r="S669" s="6" t="s">
        <v>27</v>
      </c>
      <c r="T669" s="6" t="s">
        <v>85</v>
      </c>
    </row>
    <row r="670">
      <c r="B670" s="6" t="s">
        <v>1559</v>
      </c>
      <c r="C670" s="7" t="str">
        <f t="shared" si="1"/>
        <v>Yale</v>
      </c>
      <c r="D670" s="6" t="s">
        <v>30</v>
      </c>
      <c r="E670" s="7"/>
      <c r="F670" s="8" t="s">
        <v>1560</v>
      </c>
      <c r="G670" s="7"/>
      <c r="H670" s="10"/>
      <c r="I670" s="10"/>
      <c r="J670" s="10"/>
      <c r="K670" s="10"/>
      <c r="L670" s="6"/>
      <c r="M670" s="7"/>
      <c r="N670" s="6">
        <v>0.0</v>
      </c>
      <c r="O670" s="6" t="s">
        <v>25</v>
      </c>
      <c r="P670" s="6"/>
      <c r="Q670" s="6">
        <v>1.0</v>
      </c>
      <c r="R670" s="6" t="s">
        <v>26</v>
      </c>
      <c r="S670" s="6" t="s">
        <v>27</v>
      </c>
      <c r="T670" s="6" t="s">
        <v>300</v>
      </c>
    </row>
    <row r="671">
      <c r="B671" s="6" t="s">
        <v>1561</v>
      </c>
      <c r="C671" s="7" t="str">
        <f t="shared" si="1"/>
        <v>Yale</v>
      </c>
      <c r="D671" s="6" t="s">
        <v>30</v>
      </c>
      <c r="E671" s="7"/>
      <c r="F671" s="8" t="s">
        <v>1562</v>
      </c>
      <c r="G671" s="7"/>
      <c r="H671" s="10"/>
      <c r="I671" s="10"/>
      <c r="J671" s="10"/>
      <c r="K671" s="10"/>
      <c r="L671" s="6"/>
      <c r="M671" s="7"/>
      <c r="N671" s="6">
        <v>0.0</v>
      </c>
      <c r="O671" s="6" t="s">
        <v>25</v>
      </c>
      <c r="P671" s="6"/>
      <c r="Q671" s="6">
        <v>1.0</v>
      </c>
      <c r="R671" s="6" t="s">
        <v>26</v>
      </c>
      <c r="S671" s="6" t="s">
        <v>27</v>
      </c>
      <c r="T671" s="6" t="s">
        <v>248</v>
      </c>
    </row>
    <row r="672">
      <c r="B672" s="6" t="s">
        <v>1563</v>
      </c>
      <c r="C672" s="7" t="str">
        <f t="shared" si="1"/>
        <v>Yale</v>
      </c>
      <c r="D672" s="6" t="s">
        <v>30</v>
      </c>
      <c r="E672" s="7"/>
      <c r="F672" s="8" t="s">
        <v>1564</v>
      </c>
      <c r="G672" s="7"/>
      <c r="H672" s="10"/>
      <c r="I672" s="10"/>
      <c r="J672" s="10"/>
      <c r="K672" s="10"/>
      <c r="L672" s="6"/>
      <c r="M672" s="7"/>
      <c r="N672" s="6">
        <v>1.0</v>
      </c>
      <c r="O672" s="6" t="s">
        <v>25</v>
      </c>
      <c r="P672" s="6"/>
      <c r="Q672" s="6">
        <v>1.0</v>
      </c>
      <c r="R672" s="6" t="s">
        <v>26</v>
      </c>
      <c r="S672" s="6" t="s">
        <v>27</v>
      </c>
      <c r="T672" s="6" t="s">
        <v>248</v>
      </c>
    </row>
    <row r="673">
      <c r="B673" s="6" t="s">
        <v>1565</v>
      </c>
      <c r="C673" s="7" t="str">
        <f t="shared" si="1"/>
        <v>Yale</v>
      </c>
      <c r="D673" s="6" t="s">
        <v>30</v>
      </c>
      <c r="E673" s="7"/>
      <c r="F673" s="8" t="s">
        <v>1566</v>
      </c>
      <c r="G673" s="7"/>
      <c r="H673" s="10"/>
      <c r="I673" s="10"/>
      <c r="J673" s="10"/>
      <c r="K673" s="10"/>
      <c r="L673" s="6"/>
      <c r="M673" s="7"/>
      <c r="N673" s="6">
        <v>0.0</v>
      </c>
      <c r="O673" s="6" t="s">
        <v>25</v>
      </c>
      <c r="P673" s="6"/>
      <c r="Q673" s="6">
        <v>1.0</v>
      </c>
      <c r="R673" s="6" t="s">
        <v>26</v>
      </c>
      <c r="S673" s="6" t="s">
        <v>27</v>
      </c>
      <c r="T673" s="6" t="s">
        <v>248</v>
      </c>
    </row>
    <row r="674">
      <c r="B674" s="6" t="s">
        <v>1567</v>
      </c>
      <c r="C674" s="7" t="str">
        <f t="shared" si="1"/>
        <v>Yale</v>
      </c>
      <c r="D674" s="6" t="s">
        <v>30</v>
      </c>
      <c r="E674" s="7"/>
      <c r="F674" s="8" t="s">
        <v>1568</v>
      </c>
      <c r="G674" s="7"/>
      <c r="H674" s="10"/>
      <c r="I674" s="10"/>
      <c r="J674" s="10"/>
      <c r="K674" s="10"/>
      <c r="L674" s="6"/>
      <c r="M674" s="7"/>
      <c r="N674" s="6">
        <v>1.0</v>
      </c>
      <c r="O674" s="6" t="s">
        <v>25</v>
      </c>
      <c r="P674" s="6"/>
      <c r="Q674" s="6">
        <v>1.0</v>
      </c>
      <c r="R674" s="6" t="s">
        <v>26</v>
      </c>
      <c r="S674" s="6" t="s">
        <v>27</v>
      </c>
      <c r="T674" s="6" t="s">
        <v>248</v>
      </c>
    </row>
    <row r="675">
      <c r="B675" s="6" t="s">
        <v>1569</v>
      </c>
      <c r="C675" s="7" t="str">
        <f t="shared" si="1"/>
        <v>Yale</v>
      </c>
      <c r="D675" s="6" t="s">
        <v>30</v>
      </c>
      <c r="E675" s="7"/>
      <c r="F675" s="8" t="s">
        <v>1570</v>
      </c>
      <c r="G675" s="7"/>
      <c r="H675" s="10"/>
      <c r="I675" s="10"/>
      <c r="J675" s="10"/>
      <c r="K675" s="10"/>
      <c r="L675" s="6"/>
      <c r="M675" s="7"/>
      <c r="N675" s="6">
        <v>0.0</v>
      </c>
      <c r="O675" s="6" t="s">
        <v>25</v>
      </c>
      <c r="P675" s="6"/>
      <c r="Q675" s="6">
        <v>1.0</v>
      </c>
      <c r="R675" s="6" t="s">
        <v>26</v>
      </c>
      <c r="S675" s="6" t="s">
        <v>27</v>
      </c>
      <c r="T675" s="6" t="s">
        <v>248</v>
      </c>
    </row>
    <row r="676">
      <c r="B676" s="6" t="s">
        <v>1571</v>
      </c>
      <c r="C676" s="7" t="str">
        <f t="shared" si="1"/>
        <v>Yale</v>
      </c>
      <c r="D676" s="6" t="s">
        <v>30</v>
      </c>
      <c r="E676" s="7"/>
      <c r="F676" s="8" t="s">
        <v>1572</v>
      </c>
      <c r="G676" s="7"/>
      <c r="H676" s="10"/>
      <c r="I676" s="10"/>
      <c r="J676" s="10"/>
      <c r="K676" s="10"/>
      <c r="L676" s="6"/>
      <c r="M676" s="7"/>
      <c r="N676" s="6">
        <v>0.0</v>
      </c>
      <c r="O676" s="6" t="s">
        <v>25</v>
      </c>
      <c r="P676" s="6"/>
      <c r="Q676" s="6">
        <v>1.0</v>
      </c>
      <c r="R676" s="6" t="s">
        <v>26</v>
      </c>
      <c r="S676" s="6" t="s">
        <v>27</v>
      </c>
      <c r="T676" s="6" t="s">
        <v>241</v>
      </c>
    </row>
    <row r="677">
      <c r="B677" s="6" t="s">
        <v>1573</v>
      </c>
      <c r="C677" s="7" t="str">
        <f t="shared" si="1"/>
        <v>Yale</v>
      </c>
      <c r="D677" s="6" t="s">
        <v>30</v>
      </c>
      <c r="E677" s="7"/>
      <c r="F677" s="8" t="s">
        <v>1574</v>
      </c>
      <c r="G677" s="7"/>
      <c r="H677" s="10"/>
      <c r="I677" s="10"/>
      <c r="J677" s="10"/>
      <c r="K677" s="10"/>
      <c r="L677" s="6"/>
      <c r="M677" s="7"/>
      <c r="N677" s="6">
        <v>0.0</v>
      </c>
      <c r="O677" s="6" t="s">
        <v>25</v>
      </c>
      <c r="P677" s="6"/>
      <c r="Q677" s="6">
        <v>1.0</v>
      </c>
      <c r="R677" s="6" t="s">
        <v>26</v>
      </c>
      <c r="S677" s="6" t="s">
        <v>27</v>
      </c>
      <c r="T677" s="6" t="s">
        <v>76</v>
      </c>
    </row>
    <row r="678">
      <c r="B678" s="6" t="s">
        <v>1575</v>
      </c>
      <c r="C678" s="7" t="str">
        <f t="shared" si="1"/>
        <v>Yale</v>
      </c>
      <c r="D678" s="6" t="s">
        <v>30</v>
      </c>
      <c r="E678" s="7"/>
      <c r="F678" s="8" t="s">
        <v>1576</v>
      </c>
      <c r="G678" s="7"/>
      <c r="H678" s="10"/>
      <c r="I678" s="10"/>
      <c r="J678" s="10"/>
      <c r="K678" s="10"/>
      <c r="L678" s="6"/>
      <c r="M678" s="7"/>
      <c r="N678" s="6">
        <v>1.0</v>
      </c>
      <c r="O678" s="6" t="s">
        <v>25</v>
      </c>
      <c r="P678" s="6"/>
      <c r="Q678" s="6">
        <v>1.0</v>
      </c>
      <c r="R678" s="6" t="s">
        <v>26</v>
      </c>
      <c r="S678" s="6" t="s">
        <v>27</v>
      </c>
      <c r="T678" s="6" t="s">
        <v>241</v>
      </c>
    </row>
    <row r="679">
      <c r="B679" s="6" t="s">
        <v>1577</v>
      </c>
      <c r="C679" s="7" t="str">
        <f t="shared" si="1"/>
        <v>Yale</v>
      </c>
      <c r="D679" s="6" t="s">
        <v>30</v>
      </c>
      <c r="E679" s="7"/>
      <c r="F679" s="8" t="s">
        <v>1578</v>
      </c>
      <c r="G679" s="7"/>
      <c r="H679" s="10"/>
      <c r="I679" s="10"/>
      <c r="J679" s="10"/>
      <c r="K679" s="10"/>
      <c r="L679" s="6"/>
      <c r="M679" s="7"/>
      <c r="N679" s="6">
        <v>0.0</v>
      </c>
      <c r="O679" s="6" t="s">
        <v>25</v>
      </c>
      <c r="P679" s="6"/>
      <c r="Q679" s="6">
        <v>1.0</v>
      </c>
      <c r="R679" s="6" t="s">
        <v>26</v>
      </c>
      <c r="S679" s="6" t="s">
        <v>27</v>
      </c>
      <c r="T679" s="6" t="s">
        <v>248</v>
      </c>
    </row>
    <row r="680">
      <c r="B680" s="6" t="s">
        <v>1579</v>
      </c>
      <c r="C680" s="7" t="str">
        <f t="shared" si="1"/>
        <v>Yale</v>
      </c>
      <c r="D680" s="6" t="s">
        <v>30</v>
      </c>
      <c r="E680" s="7"/>
      <c r="F680" s="8" t="s">
        <v>1580</v>
      </c>
      <c r="G680" s="7"/>
      <c r="H680" s="10"/>
      <c r="I680" s="10"/>
      <c r="J680" s="10"/>
      <c r="K680" s="10"/>
      <c r="L680" s="6"/>
      <c r="M680" s="7"/>
      <c r="N680" s="6">
        <v>0.0</v>
      </c>
      <c r="O680" s="6" t="s">
        <v>25</v>
      </c>
      <c r="P680" s="6"/>
      <c r="Q680" s="6">
        <v>1.0</v>
      </c>
      <c r="R680" s="6" t="s">
        <v>26</v>
      </c>
      <c r="S680" s="6" t="s">
        <v>27</v>
      </c>
      <c r="T680" s="6" t="s">
        <v>329</v>
      </c>
    </row>
    <row r="681">
      <c r="B681" s="6" t="s">
        <v>1581</v>
      </c>
      <c r="C681" s="7" t="str">
        <f t="shared" si="1"/>
        <v>Yale</v>
      </c>
      <c r="D681" s="6" t="s">
        <v>30</v>
      </c>
      <c r="E681" s="7"/>
      <c r="F681" s="8" t="s">
        <v>1582</v>
      </c>
      <c r="G681" s="7"/>
      <c r="H681" s="10"/>
      <c r="I681" s="10"/>
      <c r="J681" s="10"/>
      <c r="K681" s="10"/>
      <c r="L681" s="6"/>
      <c r="M681" s="7"/>
      <c r="N681" s="6">
        <v>0.0</v>
      </c>
      <c r="O681" s="6" t="s">
        <v>25</v>
      </c>
      <c r="P681" s="6"/>
      <c r="Q681" s="6">
        <v>1.0</v>
      </c>
      <c r="R681" s="6" t="s">
        <v>26</v>
      </c>
      <c r="S681" s="6" t="s">
        <v>27</v>
      </c>
      <c r="T681" s="6" t="s">
        <v>248</v>
      </c>
    </row>
    <row r="682">
      <c r="B682" s="6" t="s">
        <v>1583</v>
      </c>
      <c r="C682" s="7" t="str">
        <f t="shared" si="1"/>
        <v>Yale</v>
      </c>
      <c r="D682" s="6" t="s">
        <v>30</v>
      </c>
      <c r="E682" s="7"/>
      <c r="F682" s="8" t="s">
        <v>1584</v>
      </c>
      <c r="G682" s="7"/>
      <c r="H682" s="10"/>
      <c r="I682" s="10"/>
      <c r="J682" s="10"/>
      <c r="K682" s="10"/>
      <c r="L682" s="6"/>
      <c r="M682" s="7"/>
      <c r="N682" s="6">
        <v>0.0</v>
      </c>
      <c r="O682" s="6" t="s">
        <v>25</v>
      </c>
      <c r="P682" s="6"/>
      <c r="Q682" s="6">
        <v>1.0</v>
      </c>
      <c r="R682" s="6" t="s">
        <v>26</v>
      </c>
      <c r="S682" s="6" t="s">
        <v>27</v>
      </c>
      <c r="T682" s="6" t="s">
        <v>48</v>
      </c>
    </row>
    <row r="683">
      <c r="B683" s="6" t="s">
        <v>1585</v>
      </c>
      <c r="C683" s="7" t="str">
        <f t="shared" si="1"/>
        <v>Yale</v>
      </c>
      <c r="D683" s="6" t="s">
        <v>30</v>
      </c>
      <c r="E683" s="7"/>
      <c r="F683" s="8" t="s">
        <v>1586</v>
      </c>
      <c r="G683" s="7"/>
      <c r="H683" s="10"/>
      <c r="I683" s="10"/>
      <c r="J683" s="10"/>
      <c r="K683" s="10"/>
      <c r="L683" s="6"/>
      <c r="M683" s="7"/>
      <c r="N683" s="6">
        <v>0.0</v>
      </c>
      <c r="O683" s="6" t="s">
        <v>25</v>
      </c>
      <c r="P683" s="6"/>
      <c r="Q683" s="6">
        <v>1.0</v>
      </c>
      <c r="R683" s="6" t="s">
        <v>26</v>
      </c>
      <c r="S683" s="6" t="s">
        <v>27</v>
      </c>
      <c r="T683" s="6" t="s">
        <v>76</v>
      </c>
    </row>
    <row r="684">
      <c r="B684" s="6" t="s">
        <v>1587</v>
      </c>
      <c r="C684" s="7" t="str">
        <f t="shared" si="1"/>
        <v>Yale</v>
      </c>
      <c r="D684" s="6" t="s">
        <v>30</v>
      </c>
      <c r="E684" s="7"/>
      <c r="F684" s="8" t="s">
        <v>1588</v>
      </c>
      <c r="G684" s="7"/>
      <c r="H684" s="10"/>
      <c r="I684" s="10"/>
      <c r="J684" s="10"/>
      <c r="K684" s="10"/>
      <c r="L684" s="6"/>
      <c r="M684" s="7"/>
      <c r="N684" s="6">
        <v>0.0</v>
      </c>
      <c r="O684" s="6" t="s">
        <v>25</v>
      </c>
      <c r="P684" s="6"/>
      <c r="Q684" s="6">
        <v>1.0</v>
      </c>
      <c r="R684" s="6" t="s">
        <v>26</v>
      </c>
      <c r="S684" s="6" t="s">
        <v>27</v>
      </c>
      <c r="T684" s="6" t="s">
        <v>85</v>
      </c>
    </row>
    <row r="685">
      <c r="B685" s="6" t="s">
        <v>1589</v>
      </c>
      <c r="C685" s="7" t="str">
        <f t="shared" si="1"/>
        <v>Yale</v>
      </c>
      <c r="D685" s="6" t="s">
        <v>30</v>
      </c>
      <c r="E685" s="7"/>
      <c r="F685" s="8" t="s">
        <v>1590</v>
      </c>
      <c r="G685" s="7"/>
      <c r="H685" s="10"/>
      <c r="I685" s="10"/>
      <c r="J685" s="10"/>
      <c r="K685" s="10"/>
      <c r="L685" s="6"/>
      <c r="M685" s="7"/>
      <c r="N685" s="6">
        <v>0.0</v>
      </c>
      <c r="O685" s="6" t="s">
        <v>25</v>
      </c>
      <c r="P685" s="6"/>
      <c r="Q685" s="6">
        <v>1.0</v>
      </c>
      <c r="R685" s="6" t="s">
        <v>26</v>
      </c>
      <c r="S685" s="6" t="s">
        <v>27</v>
      </c>
      <c r="T685" s="6" t="s">
        <v>76</v>
      </c>
    </row>
    <row r="686">
      <c r="B686" s="6" t="s">
        <v>1591</v>
      </c>
      <c r="C686" s="7" t="str">
        <f t="shared" si="1"/>
        <v/>
      </c>
      <c r="D686" s="7" t="s">
        <v>20</v>
      </c>
      <c r="E686" s="1"/>
      <c r="F686" s="8" t="s">
        <v>1592</v>
      </c>
      <c r="G686" s="1"/>
      <c r="M686" s="1"/>
      <c r="N686" s="6">
        <v>0.0</v>
      </c>
      <c r="O686" s="6" t="s">
        <v>43</v>
      </c>
      <c r="P686" s="6"/>
      <c r="Q686" s="6">
        <v>1.0</v>
      </c>
      <c r="R686" s="6" t="s">
        <v>26</v>
      </c>
      <c r="S686" s="6" t="s">
        <v>27</v>
      </c>
      <c r="T686" s="6" t="s">
        <v>44</v>
      </c>
    </row>
    <row r="687">
      <c r="B687" s="6" t="s">
        <v>1593</v>
      </c>
      <c r="C687" s="7" t="str">
        <f t="shared" si="1"/>
        <v/>
      </c>
      <c r="D687" s="7" t="s">
        <v>20</v>
      </c>
      <c r="E687" s="1"/>
      <c r="F687" s="8" t="s">
        <v>1594</v>
      </c>
      <c r="G687" s="1"/>
      <c r="M687" s="1"/>
      <c r="N687" s="6">
        <v>1.0</v>
      </c>
      <c r="O687" s="6" t="s">
        <v>25</v>
      </c>
      <c r="P687" s="6"/>
      <c r="Q687" s="6">
        <v>1.0</v>
      </c>
      <c r="R687" s="6" t="s">
        <v>26</v>
      </c>
      <c r="S687" s="6" t="s">
        <v>27</v>
      </c>
      <c r="T687" s="6" t="s">
        <v>32</v>
      </c>
    </row>
    <row r="688">
      <c r="B688" s="6" t="s">
        <v>1595</v>
      </c>
      <c r="C688" s="7" t="str">
        <f t="shared" si="1"/>
        <v/>
      </c>
      <c r="D688" s="7" t="s">
        <v>50</v>
      </c>
      <c r="E688" s="7">
        <v>100.0</v>
      </c>
      <c r="F688" s="7"/>
      <c r="G688" s="8" t="s">
        <v>1596</v>
      </c>
      <c r="H688" s="9" t="str">
        <f>LEFT(G688, LEN(G688)-1)</f>
        <v>https://www.zdnet.com</v>
      </c>
      <c r="I688" s="9" t="str">
        <f>IFERROR(__xludf.DUMMYFUNCTION("IF(REGEXMATCH(H688,""www""),RIGHT(H688,LEN(H688)-FIND(""."",H688)+0),if(regexmatch(H688,""https://""),right(H688,len(H688)-find(""/"",H688)-1),H688))"),"zdnet.com")</f>
        <v>zdnet.com</v>
      </c>
      <c r="J688" s="9" t="str">
        <f>I688</f>
        <v>zdnet.com</v>
      </c>
      <c r="K688" s="9" t="s">
        <v>23</v>
      </c>
      <c r="L688" s="6" t="s">
        <v>176</v>
      </c>
      <c r="M688" s="8" t="str">
        <f>K688&amp;J688&amp;L688</f>
        <v>https://newsapi.org/v2/everything?domains=zdnet.com&amp;apiKey=7d4cb29b783f48c8a1837901e959f134</v>
      </c>
      <c r="N688" s="6">
        <v>1.0</v>
      </c>
      <c r="O688" s="6" t="s">
        <v>25</v>
      </c>
      <c r="P688" s="6"/>
      <c r="Q688" s="6">
        <v>1.0</v>
      </c>
      <c r="R688" s="6" t="s">
        <v>26</v>
      </c>
      <c r="S688" s="6" t="s">
        <v>27</v>
      </c>
      <c r="T688" s="6" t="s">
        <v>76</v>
      </c>
    </row>
    <row r="689">
      <c r="B689" s="6" t="s">
        <v>1597</v>
      </c>
      <c r="C689" s="1"/>
      <c r="D689" s="7" t="s">
        <v>20</v>
      </c>
      <c r="E689" s="1"/>
      <c r="F689" s="8" t="s">
        <v>1598</v>
      </c>
      <c r="G689" s="1"/>
      <c r="M689" s="1"/>
      <c r="N689" s="6">
        <v>0.0</v>
      </c>
      <c r="O689" s="6" t="s">
        <v>43</v>
      </c>
      <c r="P689" s="6"/>
      <c r="Q689" s="6">
        <v>1.0</v>
      </c>
      <c r="R689" s="6" t="s">
        <v>26</v>
      </c>
      <c r="S689" s="6" t="s">
        <v>27</v>
      </c>
      <c r="T689" s="6" t="s">
        <v>76</v>
      </c>
    </row>
    <row r="690">
      <c r="B690" s="6" t="s">
        <v>1599</v>
      </c>
      <c r="C690" s="1"/>
      <c r="D690" s="7" t="s">
        <v>20</v>
      </c>
      <c r="E690" s="1"/>
      <c r="F690" s="8" t="s">
        <v>1600</v>
      </c>
      <c r="G690" s="1"/>
      <c r="M690" s="1"/>
      <c r="N690" s="6">
        <v>0.0</v>
      </c>
      <c r="O690" s="6" t="s">
        <v>43</v>
      </c>
      <c r="P690" s="6"/>
      <c r="Q690" s="6">
        <v>1.0</v>
      </c>
      <c r="R690" s="6" t="s">
        <v>26</v>
      </c>
      <c r="S690" s="6" t="s">
        <v>27</v>
      </c>
      <c r="T690" s="6" t="s">
        <v>76</v>
      </c>
    </row>
    <row r="691">
      <c r="B691" s="6" t="s">
        <v>1601</v>
      </c>
      <c r="C691" s="1"/>
      <c r="D691" s="7" t="s">
        <v>20</v>
      </c>
      <c r="E691" s="1"/>
      <c r="F691" s="8" t="s">
        <v>1602</v>
      </c>
      <c r="G691" s="1"/>
      <c r="M691" s="1"/>
      <c r="N691" s="6">
        <v>0.0</v>
      </c>
      <c r="O691" s="6" t="s">
        <v>43</v>
      </c>
      <c r="P691" s="6"/>
      <c r="Q691" s="6">
        <v>1.0</v>
      </c>
      <c r="R691" s="6" t="s">
        <v>26</v>
      </c>
      <c r="S691" s="6" t="s">
        <v>27</v>
      </c>
      <c r="T691" s="6" t="s">
        <v>76</v>
      </c>
    </row>
    <row r="692">
      <c r="B692" s="6" t="s">
        <v>1603</v>
      </c>
      <c r="C692" s="1"/>
      <c r="D692" s="7" t="s">
        <v>20</v>
      </c>
      <c r="E692" s="1"/>
      <c r="F692" s="11" t="s">
        <v>1604</v>
      </c>
      <c r="G692" s="1"/>
      <c r="M692" s="1"/>
      <c r="N692" s="6">
        <v>0.0</v>
      </c>
      <c r="O692" s="6" t="s">
        <v>43</v>
      </c>
      <c r="P692" s="6"/>
      <c r="Q692" s="6">
        <v>1.0</v>
      </c>
      <c r="R692" s="6" t="s">
        <v>26</v>
      </c>
      <c r="S692" s="6" t="s">
        <v>27</v>
      </c>
      <c r="T692" s="6" t="s">
        <v>76</v>
      </c>
    </row>
    <row r="693">
      <c r="B693" s="6" t="s">
        <v>1605</v>
      </c>
      <c r="C693" s="1"/>
      <c r="D693" s="7" t="s">
        <v>20</v>
      </c>
      <c r="E693" s="1"/>
      <c r="F693" s="11" t="s">
        <v>1606</v>
      </c>
      <c r="G693" s="1"/>
      <c r="M693" s="1"/>
      <c r="N693" s="6">
        <v>0.0</v>
      </c>
      <c r="O693" s="6" t="s">
        <v>43</v>
      </c>
      <c r="P693" s="6"/>
      <c r="Q693" s="6">
        <v>1.0</v>
      </c>
      <c r="R693" s="6" t="s">
        <v>26</v>
      </c>
      <c r="S693" s="6" t="s">
        <v>27</v>
      </c>
      <c r="T693" s="6" t="s">
        <v>32</v>
      </c>
    </row>
    <row r="694">
      <c r="B694" s="6" t="s">
        <v>1607</v>
      </c>
      <c r="C694" s="1"/>
      <c r="D694" s="7" t="s">
        <v>20</v>
      </c>
      <c r="E694" s="1"/>
      <c r="F694" s="11" t="s">
        <v>1608</v>
      </c>
      <c r="G694" s="1"/>
      <c r="M694" s="1"/>
      <c r="N694" s="6">
        <v>0.0</v>
      </c>
      <c r="O694" s="6" t="s">
        <v>43</v>
      </c>
      <c r="P694" s="6"/>
      <c r="Q694" s="6">
        <v>1.0</v>
      </c>
      <c r="R694" s="6" t="s">
        <v>26</v>
      </c>
      <c r="S694" s="6" t="s">
        <v>27</v>
      </c>
      <c r="T694" s="6" t="s">
        <v>248</v>
      </c>
    </row>
    <row r="695">
      <c r="B695" s="6" t="s">
        <v>1609</v>
      </c>
      <c r="C695" s="1"/>
      <c r="D695" s="7" t="s">
        <v>20</v>
      </c>
      <c r="E695" s="1"/>
      <c r="F695" s="11" t="s">
        <v>1610</v>
      </c>
      <c r="G695" s="1"/>
      <c r="M695" s="1"/>
      <c r="N695" s="6">
        <v>0.0</v>
      </c>
      <c r="O695" s="6" t="s">
        <v>43</v>
      </c>
      <c r="P695" s="6"/>
      <c r="Q695" s="6">
        <v>1.0</v>
      </c>
      <c r="R695" s="6" t="s">
        <v>26</v>
      </c>
      <c r="S695" s="6" t="s">
        <v>27</v>
      </c>
      <c r="T695" s="6" t="s">
        <v>48</v>
      </c>
    </row>
    <row r="696">
      <c r="B696" s="6" t="s">
        <v>1611</v>
      </c>
      <c r="C696" s="1"/>
      <c r="D696" s="7" t="s">
        <v>20</v>
      </c>
      <c r="E696" s="1"/>
      <c r="F696" s="11" t="s">
        <v>1612</v>
      </c>
      <c r="G696" s="1"/>
      <c r="M696" s="1"/>
      <c r="N696" s="6">
        <v>0.0</v>
      </c>
      <c r="O696" s="6" t="s">
        <v>43</v>
      </c>
      <c r="P696" s="6"/>
      <c r="Q696" s="6">
        <v>1.0</v>
      </c>
      <c r="R696" s="6" t="s">
        <v>26</v>
      </c>
      <c r="S696" s="6" t="s">
        <v>27</v>
      </c>
      <c r="T696" s="6" t="s">
        <v>248</v>
      </c>
    </row>
    <row r="697">
      <c r="B697" s="6" t="s">
        <v>1613</v>
      </c>
      <c r="C697" s="1"/>
      <c r="D697" s="7" t="s">
        <v>20</v>
      </c>
      <c r="E697" s="1"/>
      <c r="F697" s="11" t="s">
        <v>1614</v>
      </c>
      <c r="G697" s="1"/>
      <c r="M697" s="1"/>
      <c r="N697" s="6">
        <v>0.0</v>
      </c>
      <c r="O697" s="6" t="s">
        <v>43</v>
      </c>
      <c r="P697" s="6"/>
      <c r="Q697" s="6">
        <v>1.0</v>
      </c>
      <c r="R697" s="6" t="s">
        <v>26</v>
      </c>
      <c r="S697" s="6" t="s">
        <v>27</v>
      </c>
      <c r="T697" s="6" t="s">
        <v>248</v>
      </c>
    </row>
    <row r="698">
      <c r="B698" s="6" t="s">
        <v>1615</v>
      </c>
      <c r="C698" s="1"/>
      <c r="D698" s="7" t="s">
        <v>20</v>
      </c>
      <c r="E698" s="1"/>
      <c r="F698" s="11" t="s">
        <v>1616</v>
      </c>
      <c r="G698" s="1"/>
      <c r="M698" s="1"/>
      <c r="N698" s="6">
        <v>0.0</v>
      </c>
      <c r="O698" s="6" t="s">
        <v>43</v>
      </c>
      <c r="P698" s="6"/>
      <c r="Q698" s="6">
        <v>1.0</v>
      </c>
      <c r="R698" s="6" t="s">
        <v>26</v>
      </c>
      <c r="S698" s="6" t="s">
        <v>27</v>
      </c>
      <c r="T698" s="6" t="s">
        <v>248</v>
      </c>
    </row>
    <row r="699">
      <c r="B699" s="6" t="s">
        <v>1617</v>
      </c>
      <c r="C699" s="1"/>
      <c r="D699" s="7" t="s">
        <v>30</v>
      </c>
      <c r="E699" s="1"/>
      <c r="F699" s="8" t="s">
        <v>1618</v>
      </c>
      <c r="G699" s="1"/>
      <c r="M699" s="1"/>
      <c r="N699" s="6">
        <v>0.0</v>
      </c>
      <c r="O699" s="6" t="s">
        <v>25</v>
      </c>
      <c r="P699" s="6"/>
      <c r="Q699" s="6">
        <v>1.0</v>
      </c>
      <c r="R699" s="6" t="s">
        <v>26</v>
      </c>
      <c r="S699" s="6" t="s">
        <v>27</v>
      </c>
      <c r="T699" s="6" t="s">
        <v>300</v>
      </c>
    </row>
    <row r="700">
      <c r="B700" s="6" t="s">
        <v>1619</v>
      </c>
      <c r="C700" s="1"/>
      <c r="D700" s="7" t="s">
        <v>20</v>
      </c>
      <c r="E700" s="1"/>
      <c r="F700" s="8" t="s">
        <v>1620</v>
      </c>
      <c r="G700" s="1"/>
      <c r="M700" s="1"/>
      <c r="N700" s="6">
        <v>0.0</v>
      </c>
      <c r="O700" s="6" t="s">
        <v>25</v>
      </c>
      <c r="P700" s="6"/>
      <c r="Q700" s="6">
        <v>1.0</v>
      </c>
      <c r="R700" s="6" t="s">
        <v>26</v>
      </c>
      <c r="S700" s="6" t="s">
        <v>27</v>
      </c>
      <c r="T700" s="6" t="s">
        <v>248</v>
      </c>
    </row>
    <row r="701">
      <c r="B701" s="6" t="s">
        <v>1621</v>
      </c>
      <c r="C701" s="1"/>
      <c r="D701" s="7" t="s">
        <v>30</v>
      </c>
      <c r="E701" s="1"/>
      <c r="F701" s="8" t="s">
        <v>1622</v>
      </c>
      <c r="G701" s="1"/>
      <c r="M701" s="1"/>
      <c r="N701" s="6">
        <v>0.0</v>
      </c>
      <c r="O701" s="6" t="s">
        <v>25</v>
      </c>
      <c r="P701" s="6"/>
      <c r="Q701" s="6">
        <v>1.0</v>
      </c>
      <c r="R701" s="6" t="s">
        <v>26</v>
      </c>
      <c r="S701" s="6" t="s">
        <v>27</v>
      </c>
      <c r="T701" s="6" t="s">
        <v>241</v>
      </c>
    </row>
    <row r="702">
      <c r="B702" s="6" t="s">
        <v>1623</v>
      </c>
      <c r="C702" s="1"/>
      <c r="D702" s="7" t="s">
        <v>50</v>
      </c>
      <c r="E702" s="7">
        <v>19.0</v>
      </c>
      <c r="F702" s="1"/>
      <c r="G702" s="8" t="s">
        <v>1624</v>
      </c>
      <c r="M702" s="1"/>
      <c r="N702" s="6">
        <v>0.0</v>
      </c>
      <c r="O702" s="6" t="s">
        <v>25</v>
      </c>
      <c r="P702" s="6"/>
      <c r="Q702" s="6">
        <v>1.0</v>
      </c>
      <c r="R702" s="6" t="s">
        <v>26</v>
      </c>
      <c r="S702" s="6" t="s">
        <v>27</v>
      </c>
      <c r="T702" s="6" t="s">
        <v>28</v>
      </c>
    </row>
    <row r="703">
      <c r="B703" s="6" t="s">
        <v>1625</v>
      </c>
      <c r="C703" s="1"/>
      <c r="D703" s="7" t="s">
        <v>30</v>
      </c>
      <c r="E703" s="1"/>
      <c r="F703" s="8" t="s">
        <v>1626</v>
      </c>
      <c r="G703" s="1"/>
      <c r="M703" s="1"/>
      <c r="N703" s="6">
        <v>0.0</v>
      </c>
      <c r="O703" s="6" t="s">
        <v>25</v>
      </c>
      <c r="P703" s="6"/>
      <c r="Q703" s="6">
        <v>1.0</v>
      </c>
      <c r="R703" s="6" t="s">
        <v>26</v>
      </c>
      <c r="S703" s="6" t="s">
        <v>27</v>
      </c>
      <c r="T703" s="6" t="s">
        <v>67</v>
      </c>
    </row>
    <row r="704">
      <c r="B704" s="6" t="s">
        <v>1627</v>
      </c>
      <c r="C704" s="1"/>
      <c r="D704" s="7" t="s">
        <v>30</v>
      </c>
      <c r="E704" s="1"/>
      <c r="F704" s="8" t="s">
        <v>1628</v>
      </c>
      <c r="G704" s="1"/>
      <c r="M704" s="1"/>
      <c r="N704" s="6">
        <v>0.0</v>
      </c>
      <c r="O704" s="6" t="s">
        <v>25</v>
      </c>
      <c r="P704" s="6"/>
      <c r="Q704" s="6">
        <v>1.0</v>
      </c>
      <c r="R704" s="6" t="s">
        <v>26</v>
      </c>
      <c r="S704" s="6" t="s">
        <v>27</v>
      </c>
      <c r="T704" s="6" t="s">
        <v>48</v>
      </c>
    </row>
    <row r="705">
      <c r="B705" s="6" t="s">
        <v>1629</v>
      </c>
      <c r="C705" s="1"/>
      <c r="D705" s="7" t="s">
        <v>30</v>
      </c>
      <c r="E705" s="1"/>
      <c r="F705" s="8" t="s">
        <v>1630</v>
      </c>
      <c r="G705" s="1"/>
      <c r="M705" s="1"/>
      <c r="N705" s="6">
        <v>0.0</v>
      </c>
      <c r="O705" s="6" t="s">
        <v>25</v>
      </c>
      <c r="P705" s="6"/>
      <c r="Q705" s="6">
        <v>1.0</v>
      </c>
      <c r="R705" s="6" t="s">
        <v>26</v>
      </c>
      <c r="S705" s="6" t="s">
        <v>27</v>
      </c>
      <c r="T705" s="6" t="s">
        <v>101</v>
      </c>
    </row>
    <row r="706">
      <c r="B706" s="6" t="s">
        <v>1631</v>
      </c>
      <c r="C706" s="1"/>
      <c r="D706" s="7" t="s">
        <v>30</v>
      </c>
      <c r="E706" s="1"/>
      <c r="F706" s="8" t="s">
        <v>1632</v>
      </c>
      <c r="G706" s="1"/>
      <c r="M706" s="1"/>
      <c r="N706" s="6">
        <v>0.0</v>
      </c>
      <c r="O706" s="6" t="s">
        <v>25</v>
      </c>
      <c r="P706" s="6"/>
      <c r="Q706" s="6">
        <v>1.0</v>
      </c>
      <c r="R706" s="6" t="s">
        <v>26</v>
      </c>
      <c r="S706" s="6" t="s">
        <v>27</v>
      </c>
      <c r="T706" s="6" t="s">
        <v>56</v>
      </c>
    </row>
    <row r="707">
      <c r="B707" s="6" t="s">
        <v>1633</v>
      </c>
      <c r="C707" s="1"/>
      <c r="D707" s="7" t="s">
        <v>30</v>
      </c>
      <c r="E707" s="1"/>
      <c r="F707" s="8" t="s">
        <v>1634</v>
      </c>
      <c r="G707" s="1"/>
      <c r="M707" s="1"/>
      <c r="N707" s="6">
        <v>0.0</v>
      </c>
      <c r="O707" s="6" t="s">
        <v>25</v>
      </c>
      <c r="P707" s="6"/>
      <c r="Q707" s="6">
        <v>1.0</v>
      </c>
      <c r="R707" s="6" t="s">
        <v>26</v>
      </c>
      <c r="S707" s="6" t="s">
        <v>27</v>
      </c>
      <c r="T707" s="6" t="s">
        <v>107</v>
      </c>
    </row>
    <row r="708">
      <c r="B708" s="6" t="s">
        <v>1635</v>
      </c>
      <c r="C708" s="1"/>
      <c r="D708" s="7" t="s">
        <v>30</v>
      </c>
      <c r="E708" s="1"/>
      <c r="F708" s="8" t="s">
        <v>1636</v>
      </c>
      <c r="G708" s="1"/>
      <c r="M708" s="1"/>
      <c r="N708" s="6">
        <v>0.0</v>
      </c>
      <c r="O708" s="6" t="s">
        <v>25</v>
      </c>
      <c r="P708" s="6"/>
      <c r="Q708" s="6">
        <v>1.0</v>
      </c>
      <c r="R708" s="6" t="s">
        <v>26</v>
      </c>
      <c r="S708" s="6" t="s">
        <v>27</v>
      </c>
      <c r="T708" s="6" t="s">
        <v>300</v>
      </c>
    </row>
    <row r="709">
      <c r="B709" s="6" t="s">
        <v>1637</v>
      </c>
      <c r="C709" s="1"/>
      <c r="D709" s="7" t="s">
        <v>30</v>
      </c>
      <c r="E709" s="1"/>
      <c r="F709" s="8" t="s">
        <v>1638</v>
      </c>
      <c r="G709" s="1"/>
      <c r="M709" s="1"/>
      <c r="N709" s="6">
        <v>0.0</v>
      </c>
      <c r="O709" s="6" t="s">
        <v>25</v>
      </c>
      <c r="P709" s="6"/>
      <c r="Q709" s="6">
        <v>1.0</v>
      </c>
      <c r="R709" s="6" t="s">
        <v>26</v>
      </c>
      <c r="S709" s="6" t="s">
        <v>27</v>
      </c>
      <c r="T709" s="6" t="s">
        <v>56</v>
      </c>
    </row>
    <row r="710">
      <c r="B710" s="6" t="s">
        <v>1639</v>
      </c>
      <c r="C710" s="1"/>
      <c r="D710" s="7" t="s">
        <v>30</v>
      </c>
      <c r="E710" s="1"/>
      <c r="F710" s="8" t="s">
        <v>1640</v>
      </c>
      <c r="G710" s="1"/>
      <c r="M710" s="1"/>
      <c r="N710" s="6">
        <v>0.0</v>
      </c>
      <c r="O710" s="6" t="s">
        <v>25</v>
      </c>
      <c r="P710" s="6"/>
      <c r="Q710" s="6">
        <v>1.0</v>
      </c>
      <c r="R710" s="6" t="s">
        <v>26</v>
      </c>
      <c r="S710" s="6" t="s">
        <v>27</v>
      </c>
      <c r="T710" s="6" t="s">
        <v>131</v>
      </c>
    </row>
    <row r="711">
      <c r="B711" s="6" t="s">
        <v>1641</v>
      </c>
      <c r="C711" s="1"/>
      <c r="D711" s="7" t="s">
        <v>30</v>
      </c>
      <c r="E711" s="1"/>
      <c r="F711" s="8" t="s">
        <v>1642</v>
      </c>
      <c r="G711" s="1"/>
      <c r="M711" s="1"/>
      <c r="N711" s="6">
        <v>0.0</v>
      </c>
      <c r="O711" s="6" t="s">
        <v>25</v>
      </c>
      <c r="P711" s="6"/>
      <c r="Q711" s="6">
        <v>1.0</v>
      </c>
      <c r="R711" s="6" t="s">
        <v>26</v>
      </c>
      <c r="S711" s="6" t="s">
        <v>27</v>
      </c>
      <c r="T711" s="6" t="s">
        <v>128</v>
      </c>
    </row>
    <row r="712">
      <c r="B712" s="6" t="s">
        <v>1643</v>
      </c>
      <c r="C712" s="1"/>
      <c r="D712" s="7" t="s">
        <v>30</v>
      </c>
      <c r="E712" s="1"/>
      <c r="F712" s="8" t="s">
        <v>1644</v>
      </c>
      <c r="G712" s="1"/>
      <c r="M712" s="1"/>
      <c r="N712" s="6">
        <v>0.0</v>
      </c>
      <c r="O712" s="6" t="s">
        <v>25</v>
      </c>
      <c r="P712" s="6"/>
      <c r="Q712" s="6">
        <v>1.0</v>
      </c>
      <c r="R712" s="6" t="s">
        <v>26</v>
      </c>
      <c r="S712" s="6" t="s">
        <v>27</v>
      </c>
      <c r="T712" s="6" t="s">
        <v>329</v>
      </c>
    </row>
    <row r="713">
      <c r="B713" s="6" t="s">
        <v>1645</v>
      </c>
      <c r="C713" s="1"/>
      <c r="D713" s="7" t="s">
        <v>20</v>
      </c>
      <c r="E713" s="1"/>
      <c r="F713" s="8" t="s">
        <v>1646</v>
      </c>
      <c r="G713" s="1"/>
      <c r="M713" s="1"/>
      <c r="N713" s="6">
        <v>0.0</v>
      </c>
      <c r="O713" s="6" t="s">
        <v>25</v>
      </c>
      <c r="P713" s="6"/>
      <c r="Q713" s="6">
        <v>1.0</v>
      </c>
      <c r="R713" s="6" t="s">
        <v>26</v>
      </c>
      <c r="S713" s="6" t="s">
        <v>27</v>
      </c>
      <c r="T713" s="6" t="s">
        <v>56</v>
      </c>
    </row>
    <row r="714">
      <c r="B714" s="6" t="s">
        <v>1647</v>
      </c>
      <c r="C714" s="1"/>
      <c r="D714" s="7" t="s">
        <v>20</v>
      </c>
      <c r="E714" s="1"/>
      <c r="F714" s="8" t="s">
        <v>1648</v>
      </c>
      <c r="G714" s="1"/>
      <c r="M714" s="1"/>
      <c r="N714" s="6">
        <v>0.0</v>
      </c>
      <c r="O714" s="6" t="s">
        <v>25</v>
      </c>
      <c r="P714" s="6"/>
      <c r="Q714" s="6">
        <v>1.0</v>
      </c>
      <c r="R714" s="6" t="s">
        <v>26</v>
      </c>
      <c r="S714" s="6" t="s">
        <v>27</v>
      </c>
      <c r="T714" s="6" t="s">
        <v>64</v>
      </c>
    </row>
    <row r="715">
      <c r="B715" s="6" t="s">
        <v>1649</v>
      </c>
      <c r="C715" s="1"/>
      <c r="D715" s="7" t="s">
        <v>30</v>
      </c>
      <c r="E715" s="1"/>
      <c r="F715" s="8" t="s">
        <v>1650</v>
      </c>
      <c r="G715" s="1"/>
      <c r="M715" s="1"/>
      <c r="N715" s="6">
        <v>0.0</v>
      </c>
      <c r="O715" s="6" t="s">
        <v>25</v>
      </c>
      <c r="P715" s="6"/>
      <c r="Q715" s="6">
        <v>1.0</v>
      </c>
      <c r="R715" s="6" t="s">
        <v>26</v>
      </c>
      <c r="S715" s="6" t="s">
        <v>27</v>
      </c>
      <c r="T715" s="6" t="s">
        <v>48</v>
      </c>
    </row>
    <row r="716">
      <c r="B716" s="6" t="s">
        <v>1651</v>
      </c>
      <c r="C716" s="1"/>
      <c r="D716" s="7" t="s">
        <v>20</v>
      </c>
      <c r="E716" s="1"/>
      <c r="F716" s="8" t="s">
        <v>1652</v>
      </c>
      <c r="G716" s="1"/>
      <c r="M716" s="1"/>
      <c r="N716" s="6">
        <v>0.0</v>
      </c>
      <c r="O716" s="6" t="s">
        <v>25</v>
      </c>
      <c r="P716" s="6"/>
      <c r="Q716" s="6">
        <v>1.0</v>
      </c>
      <c r="R716" s="6" t="s">
        <v>26</v>
      </c>
      <c r="S716" s="6" t="s">
        <v>27</v>
      </c>
      <c r="T716" s="6" t="s">
        <v>56</v>
      </c>
    </row>
    <row r="717">
      <c r="B717" s="6" t="s">
        <v>1653</v>
      </c>
      <c r="C717" s="1"/>
      <c r="D717" s="7" t="s">
        <v>20</v>
      </c>
      <c r="E717" s="1"/>
      <c r="F717" s="8" t="s">
        <v>1654</v>
      </c>
      <c r="G717" s="1"/>
      <c r="M717" s="1"/>
      <c r="N717" s="6">
        <v>0.0</v>
      </c>
      <c r="O717" s="6" t="s">
        <v>25</v>
      </c>
      <c r="P717" s="6"/>
      <c r="Q717" s="6">
        <v>1.0</v>
      </c>
      <c r="R717" s="6" t="s">
        <v>26</v>
      </c>
      <c r="S717" s="6" t="s">
        <v>27</v>
      </c>
      <c r="T717" s="6" t="s">
        <v>248</v>
      </c>
    </row>
    <row r="718">
      <c r="B718" s="6" t="s">
        <v>1655</v>
      </c>
      <c r="C718" s="1"/>
      <c r="D718" s="7" t="s">
        <v>20</v>
      </c>
      <c r="E718" s="1"/>
      <c r="F718" s="8" t="s">
        <v>1656</v>
      </c>
      <c r="G718" s="1"/>
      <c r="M718" s="1"/>
      <c r="N718" s="6">
        <v>0.0</v>
      </c>
      <c r="O718" s="6" t="s">
        <v>25</v>
      </c>
      <c r="P718" s="6"/>
      <c r="Q718" s="6">
        <v>1.0</v>
      </c>
      <c r="R718" s="6" t="s">
        <v>26</v>
      </c>
      <c r="S718" s="6" t="s">
        <v>27</v>
      </c>
      <c r="T718" s="6" t="s">
        <v>48</v>
      </c>
    </row>
    <row r="719">
      <c r="B719" s="6" t="s">
        <v>1657</v>
      </c>
      <c r="C719" s="1"/>
      <c r="D719" s="7" t="s">
        <v>50</v>
      </c>
      <c r="E719" s="7">
        <v>24.0</v>
      </c>
      <c r="F719" s="1"/>
      <c r="G719" s="8" t="s">
        <v>1658</v>
      </c>
      <c r="M719" s="1"/>
      <c r="N719" s="6">
        <v>1.0</v>
      </c>
      <c r="O719" s="6" t="s">
        <v>25</v>
      </c>
      <c r="P719" s="6"/>
      <c r="Q719" s="6">
        <v>1.0</v>
      </c>
      <c r="R719" s="6" t="s">
        <v>26</v>
      </c>
      <c r="S719" s="6" t="s">
        <v>27</v>
      </c>
      <c r="T719" s="6" t="s">
        <v>145</v>
      </c>
    </row>
    <row r="720">
      <c r="B720" s="6" t="s">
        <v>1659</v>
      </c>
      <c r="C720" s="1"/>
      <c r="D720" s="7" t="s">
        <v>20</v>
      </c>
      <c r="E720" s="1"/>
      <c r="F720" s="8" t="s">
        <v>1660</v>
      </c>
      <c r="G720" s="1"/>
      <c r="M720" s="1"/>
      <c r="N720" s="6">
        <v>0.0</v>
      </c>
      <c r="O720" s="6" t="s">
        <v>25</v>
      </c>
      <c r="P720" s="6"/>
      <c r="Q720" s="6">
        <v>1.0</v>
      </c>
      <c r="R720" s="6" t="s">
        <v>26</v>
      </c>
      <c r="S720" s="6" t="s">
        <v>27</v>
      </c>
      <c r="T720" s="6" t="s">
        <v>101</v>
      </c>
    </row>
    <row r="721">
      <c r="B721" s="6" t="s">
        <v>1661</v>
      </c>
      <c r="C721" s="1"/>
      <c r="D721" s="7" t="s">
        <v>30</v>
      </c>
      <c r="E721" s="1"/>
      <c r="F721" s="8" t="s">
        <v>1662</v>
      </c>
      <c r="G721" s="1"/>
      <c r="M721" s="1"/>
      <c r="N721" s="6">
        <v>0.0</v>
      </c>
      <c r="O721" s="6" t="s">
        <v>25</v>
      </c>
      <c r="P721" s="6"/>
      <c r="Q721" s="6">
        <v>1.0</v>
      </c>
      <c r="R721" s="6" t="s">
        <v>26</v>
      </c>
      <c r="S721" s="6" t="s">
        <v>27</v>
      </c>
      <c r="T721" s="6" t="s">
        <v>52</v>
      </c>
    </row>
    <row r="722">
      <c r="B722" s="6" t="s">
        <v>1663</v>
      </c>
      <c r="C722" s="1"/>
      <c r="D722" s="7" t="s">
        <v>30</v>
      </c>
      <c r="E722" s="1"/>
      <c r="F722" s="8" t="s">
        <v>1664</v>
      </c>
      <c r="G722" s="1"/>
      <c r="M722" s="1"/>
      <c r="N722" s="6">
        <v>0.0</v>
      </c>
      <c r="O722" s="6" t="s">
        <v>25</v>
      </c>
      <c r="P722" s="6"/>
      <c r="Q722" s="6">
        <v>1.0</v>
      </c>
      <c r="R722" s="6" t="s">
        <v>26</v>
      </c>
      <c r="S722" s="6" t="s">
        <v>27</v>
      </c>
      <c r="T722" s="6" t="s">
        <v>64</v>
      </c>
    </row>
    <row r="723">
      <c r="B723" s="6" t="s">
        <v>1665</v>
      </c>
      <c r="C723" s="1"/>
      <c r="D723" s="7" t="s">
        <v>30</v>
      </c>
      <c r="E723" s="1"/>
      <c r="F723" s="8" t="s">
        <v>1666</v>
      </c>
      <c r="G723" s="1"/>
      <c r="M723" s="1"/>
      <c r="N723" s="6">
        <v>0.0</v>
      </c>
      <c r="O723" s="6" t="s">
        <v>25</v>
      </c>
      <c r="P723" s="6"/>
      <c r="Q723" s="6">
        <v>1.0</v>
      </c>
      <c r="R723" s="6" t="s">
        <v>26</v>
      </c>
      <c r="S723" s="6" t="s">
        <v>27</v>
      </c>
      <c r="T723" s="6" t="s">
        <v>101</v>
      </c>
    </row>
    <row r="724">
      <c r="B724" s="6" t="s">
        <v>1667</v>
      </c>
      <c r="C724" s="1"/>
      <c r="D724" s="7" t="s">
        <v>30</v>
      </c>
      <c r="E724" s="1"/>
      <c r="F724" s="8" t="s">
        <v>1668</v>
      </c>
      <c r="G724" s="1"/>
      <c r="M724" s="1"/>
      <c r="N724" s="6">
        <v>0.0</v>
      </c>
      <c r="O724" s="6" t="s">
        <v>25</v>
      </c>
      <c r="P724" s="6"/>
      <c r="Q724" s="6">
        <v>1.0</v>
      </c>
      <c r="R724" s="6" t="s">
        <v>26</v>
      </c>
      <c r="S724" s="6" t="s">
        <v>27</v>
      </c>
      <c r="T724" s="6" t="s">
        <v>131</v>
      </c>
    </row>
    <row r="725">
      <c r="B725" s="6" t="s">
        <v>1669</v>
      </c>
      <c r="C725" s="1"/>
      <c r="D725" s="7" t="s">
        <v>30</v>
      </c>
      <c r="E725" s="1"/>
      <c r="F725" s="8" t="s">
        <v>1670</v>
      </c>
      <c r="G725" s="1"/>
      <c r="M725" s="1"/>
      <c r="N725" s="6">
        <v>0.0</v>
      </c>
      <c r="O725" s="6" t="s">
        <v>25</v>
      </c>
      <c r="P725" s="6"/>
      <c r="Q725" s="6">
        <v>1.0</v>
      </c>
      <c r="R725" s="6" t="s">
        <v>26</v>
      </c>
      <c r="S725" s="6" t="s">
        <v>27</v>
      </c>
      <c r="T725" s="6" t="s">
        <v>85</v>
      </c>
    </row>
    <row r="726">
      <c r="B726" s="6" t="s">
        <v>1671</v>
      </c>
      <c r="C726" s="1"/>
      <c r="D726" s="7" t="s">
        <v>30</v>
      </c>
      <c r="E726" s="1"/>
      <c r="F726" s="8" t="s">
        <v>1672</v>
      </c>
      <c r="G726" s="1"/>
      <c r="M726" s="1"/>
      <c r="N726" s="6">
        <v>0.0</v>
      </c>
      <c r="O726" s="6" t="s">
        <v>25</v>
      </c>
      <c r="P726" s="6"/>
      <c r="Q726" s="6">
        <v>1.0</v>
      </c>
      <c r="R726" s="6" t="s">
        <v>26</v>
      </c>
      <c r="S726" s="6" t="s">
        <v>27</v>
      </c>
      <c r="T726" s="6" t="s">
        <v>85</v>
      </c>
    </row>
    <row r="727">
      <c r="B727" s="6" t="s">
        <v>1673</v>
      </c>
      <c r="C727" s="1"/>
      <c r="D727" s="7" t="s">
        <v>30</v>
      </c>
      <c r="E727" s="1"/>
      <c r="F727" s="8" t="s">
        <v>1674</v>
      </c>
      <c r="G727" s="1"/>
      <c r="M727" s="1"/>
      <c r="N727" s="6">
        <v>0.0</v>
      </c>
      <c r="O727" s="6" t="s">
        <v>25</v>
      </c>
      <c r="P727" s="6"/>
      <c r="Q727" s="6">
        <v>1.0</v>
      </c>
      <c r="R727" s="6" t="s">
        <v>26</v>
      </c>
      <c r="S727" s="6" t="s">
        <v>27</v>
      </c>
      <c r="T727" s="6" t="s">
        <v>101</v>
      </c>
    </row>
    <row r="728">
      <c r="B728" s="6" t="s">
        <v>1675</v>
      </c>
      <c r="C728" s="1"/>
      <c r="D728" s="7" t="s">
        <v>30</v>
      </c>
      <c r="E728" s="1"/>
      <c r="F728" s="8" t="s">
        <v>1676</v>
      </c>
      <c r="G728" s="1"/>
      <c r="M728" s="1"/>
      <c r="N728" s="6">
        <v>0.0</v>
      </c>
      <c r="O728" s="6" t="s">
        <v>25</v>
      </c>
      <c r="P728" s="6"/>
      <c r="Q728" s="6">
        <v>1.0</v>
      </c>
      <c r="R728" s="6" t="s">
        <v>26</v>
      </c>
      <c r="S728" s="6" t="s">
        <v>27</v>
      </c>
      <c r="T728" s="6" t="s">
        <v>56</v>
      </c>
    </row>
    <row r="729">
      <c r="B729" s="6" t="s">
        <v>1677</v>
      </c>
      <c r="C729" s="1"/>
      <c r="D729" s="7" t="s">
        <v>30</v>
      </c>
      <c r="E729" s="1"/>
      <c r="F729" s="8" t="s">
        <v>1678</v>
      </c>
      <c r="G729" s="1"/>
      <c r="M729" s="1"/>
      <c r="N729" s="6">
        <v>0.0</v>
      </c>
      <c r="O729" s="6" t="s">
        <v>25</v>
      </c>
      <c r="P729" s="6"/>
      <c r="Q729" s="6">
        <v>1.0</v>
      </c>
      <c r="R729" s="6" t="s">
        <v>26</v>
      </c>
      <c r="S729" s="6" t="s">
        <v>27</v>
      </c>
      <c r="T729" s="6" t="s">
        <v>85</v>
      </c>
    </row>
    <row r="730">
      <c r="B730" s="6" t="s">
        <v>1679</v>
      </c>
      <c r="C730" s="1"/>
      <c r="D730" s="7" t="s">
        <v>30</v>
      </c>
      <c r="E730" s="1"/>
      <c r="F730" s="8" t="s">
        <v>1680</v>
      </c>
      <c r="G730" s="1"/>
      <c r="M730" s="1"/>
      <c r="N730" s="6">
        <v>0.0</v>
      </c>
      <c r="O730" s="6" t="s">
        <v>25</v>
      </c>
      <c r="P730" s="6"/>
      <c r="Q730" s="6">
        <v>1.0</v>
      </c>
      <c r="R730" s="6" t="s">
        <v>26</v>
      </c>
      <c r="S730" s="6" t="s">
        <v>27</v>
      </c>
      <c r="T730" s="6" t="s">
        <v>32</v>
      </c>
    </row>
    <row r="731">
      <c r="B731" s="6" t="s">
        <v>1681</v>
      </c>
      <c r="C731" s="1"/>
      <c r="D731" s="7" t="s">
        <v>20</v>
      </c>
      <c r="E731" s="1"/>
      <c r="F731" s="8" t="s">
        <v>1682</v>
      </c>
      <c r="G731" s="1"/>
      <c r="M731" s="1"/>
      <c r="N731" s="6">
        <v>0.0</v>
      </c>
      <c r="O731" s="6" t="s">
        <v>25</v>
      </c>
      <c r="P731" s="6"/>
      <c r="Q731" s="6">
        <v>1.0</v>
      </c>
      <c r="R731" s="6" t="s">
        <v>26</v>
      </c>
      <c r="S731" s="6" t="s">
        <v>27</v>
      </c>
      <c r="T731" s="6" t="s">
        <v>90</v>
      </c>
    </row>
    <row r="732">
      <c r="B732" s="6" t="s">
        <v>1683</v>
      </c>
      <c r="C732" s="1"/>
      <c r="D732" s="7" t="s">
        <v>50</v>
      </c>
      <c r="E732" s="7">
        <v>100.0</v>
      </c>
      <c r="F732" s="8" t="s">
        <v>1684</v>
      </c>
      <c r="G732" s="1"/>
      <c r="M732" s="1"/>
      <c r="N732" s="6">
        <v>1.0</v>
      </c>
      <c r="O732" s="6" t="s">
        <v>25</v>
      </c>
      <c r="P732" s="6"/>
      <c r="Q732" s="6">
        <v>1.0</v>
      </c>
      <c r="R732" s="6" t="s">
        <v>26</v>
      </c>
      <c r="S732" s="6" t="s">
        <v>27</v>
      </c>
      <c r="T732" s="6" t="s">
        <v>223</v>
      </c>
    </row>
    <row r="733">
      <c r="B733" s="6" t="s">
        <v>1685</v>
      </c>
      <c r="C733" s="1"/>
      <c r="D733" s="7" t="s">
        <v>20</v>
      </c>
      <c r="E733" s="1"/>
      <c r="F733" s="11" t="s">
        <v>1686</v>
      </c>
      <c r="G733" s="1"/>
      <c r="M733" s="1"/>
      <c r="N733" s="6">
        <v>0.0</v>
      </c>
      <c r="O733" s="6" t="s">
        <v>43</v>
      </c>
      <c r="P733" s="6"/>
      <c r="Q733" s="6">
        <v>1.0</v>
      </c>
      <c r="R733" s="6" t="s">
        <v>26</v>
      </c>
      <c r="S733" s="6" t="s">
        <v>27</v>
      </c>
      <c r="T733" s="6" t="s">
        <v>76</v>
      </c>
    </row>
    <row r="734">
      <c r="B734" s="6" t="s">
        <v>1687</v>
      </c>
      <c r="C734" s="1"/>
      <c r="D734" s="7" t="s">
        <v>20</v>
      </c>
      <c r="E734" s="1"/>
      <c r="F734" s="11" t="s">
        <v>1688</v>
      </c>
      <c r="G734" s="1"/>
      <c r="M734" s="1"/>
      <c r="N734" s="6">
        <v>0.0</v>
      </c>
      <c r="O734" s="6" t="s">
        <v>43</v>
      </c>
      <c r="P734" s="6"/>
      <c r="Q734" s="6">
        <v>1.0</v>
      </c>
      <c r="R734" s="6" t="s">
        <v>26</v>
      </c>
      <c r="S734" s="6" t="s">
        <v>27</v>
      </c>
      <c r="T734" s="6" t="s">
        <v>145</v>
      </c>
    </row>
    <row r="735">
      <c r="B735" s="6" t="s">
        <v>1689</v>
      </c>
      <c r="C735" s="1"/>
      <c r="D735" s="7" t="s">
        <v>20</v>
      </c>
      <c r="E735" s="1"/>
      <c r="F735" s="8" t="s">
        <v>1690</v>
      </c>
      <c r="G735" s="1"/>
      <c r="M735" s="1"/>
      <c r="N735" s="6">
        <v>0.0</v>
      </c>
      <c r="O735" s="6" t="s">
        <v>39</v>
      </c>
      <c r="P735" s="6"/>
      <c r="Q735" s="6">
        <v>1.0</v>
      </c>
      <c r="R735" s="6" t="s">
        <v>26</v>
      </c>
      <c r="S735" s="6" t="s">
        <v>27</v>
      </c>
      <c r="T735" s="6" t="s">
        <v>145</v>
      </c>
    </row>
    <row r="736">
      <c r="B736" s="6" t="s">
        <v>1691</v>
      </c>
      <c r="C736" s="1"/>
      <c r="D736" s="7" t="s">
        <v>30</v>
      </c>
      <c r="E736" s="1"/>
      <c r="F736" s="8" t="s">
        <v>1692</v>
      </c>
      <c r="G736" s="1"/>
      <c r="M736" s="1"/>
      <c r="N736" s="6">
        <v>0.0</v>
      </c>
      <c r="O736" s="6" t="s">
        <v>25</v>
      </c>
      <c r="P736" s="6"/>
      <c r="Q736" s="6">
        <v>1.0</v>
      </c>
      <c r="R736" s="6" t="s">
        <v>26</v>
      </c>
      <c r="S736" s="6" t="s">
        <v>27</v>
      </c>
      <c r="T736" s="6" t="s">
        <v>107</v>
      </c>
    </row>
    <row r="737">
      <c r="B737" s="6" t="s">
        <v>1693</v>
      </c>
      <c r="C737" s="1"/>
      <c r="D737" s="7" t="s">
        <v>30</v>
      </c>
      <c r="E737" s="1"/>
      <c r="F737" s="8" t="s">
        <v>1694</v>
      </c>
      <c r="G737" s="1"/>
      <c r="M737" s="1"/>
      <c r="N737" s="6">
        <v>0.0</v>
      </c>
      <c r="O737" s="6" t="s">
        <v>25</v>
      </c>
      <c r="P737" s="6"/>
      <c r="Q737" s="6">
        <v>1.0</v>
      </c>
      <c r="R737" s="6" t="s">
        <v>26</v>
      </c>
      <c r="S737" s="6" t="s">
        <v>27</v>
      </c>
      <c r="T737" s="6" t="s">
        <v>90</v>
      </c>
    </row>
    <row r="738">
      <c r="B738" s="6" t="s">
        <v>1695</v>
      </c>
      <c r="C738" s="1"/>
      <c r="D738" s="7" t="s">
        <v>30</v>
      </c>
      <c r="E738" s="1"/>
      <c r="F738" s="8" t="s">
        <v>1696</v>
      </c>
      <c r="G738" s="1"/>
      <c r="M738" s="1"/>
      <c r="N738" s="6">
        <v>0.0</v>
      </c>
      <c r="O738" s="6" t="s">
        <v>25</v>
      </c>
      <c r="P738" s="6"/>
      <c r="Q738" s="6">
        <v>1.0</v>
      </c>
      <c r="R738" s="6" t="s">
        <v>26</v>
      </c>
      <c r="S738" s="6" t="s">
        <v>27</v>
      </c>
      <c r="T738" s="6" t="s">
        <v>107</v>
      </c>
    </row>
    <row r="739">
      <c r="B739" s="6" t="s">
        <v>1697</v>
      </c>
      <c r="C739" s="1"/>
      <c r="D739" s="7" t="s">
        <v>30</v>
      </c>
      <c r="E739" s="1"/>
      <c r="F739" s="8" t="s">
        <v>1698</v>
      </c>
      <c r="G739" s="1"/>
      <c r="M739" s="1"/>
      <c r="N739" s="6">
        <v>0.0</v>
      </c>
      <c r="O739" s="6" t="s">
        <v>25</v>
      </c>
      <c r="P739" s="6"/>
      <c r="Q739" s="6">
        <v>1.0</v>
      </c>
      <c r="R739" s="6" t="s">
        <v>26</v>
      </c>
      <c r="S739" s="6" t="s">
        <v>27</v>
      </c>
      <c r="T739" s="6" t="s">
        <v>32</v>
      </c>
    </row>
    <row r="740">
      <c r="B740" s="6" t="s">
        <v>1699</v>
      </c>
      <c r="C740" s="1"/>
      <c r="D740" s="7" t="s">
        <v>20</v>
      </c>
      <c r="E740" s="1"/>
      <c r="F740" s="8" t="s">
        <v>1700</v>
      </c>
      <c r="G740" s="1"/>
      <c r="M740" s="1"/>
      <c r="N740" s="6">
        <v>0.0</v>
      </c>
      <c r="O740" s="6" t="s">
        <v>25</v>
      </c>
      <c r="P740" s="6"/>
      <c r="Q740" s="6">
        <v>1.0</v>
      </c>
      <c r="R740" s="6" t="s">
        <v>26</v>
      </c>
      <c r="S740" s="6" t="s">
        <v>27</v>
      </c>
      <c r="T740" s="6" t="s">
        <v>48</v>
      </c>
    </row>
    <row r="741">
      <c r="B741" s="6" t="s">
        <v>1701</v>
      </c>
      <c r="C741" s="1"/>
      <c r="D741" s="7" t="s">
        <v>20</v>
      </c>
      <c r="E741" s="1"/>
      <c r="F741" s="8" t="s">
        <v>1702</v>
      </c>
      <c r="G741" s="1"/>
      <c r="M741" s="1"/>
      <c r="N741" s="6">
        <v>0.0</v>
      </c>
      <c r="O741" s="6" t="s">
        <v>25</v>
      </c>
      <c r="P741" s="6"/>
      <c r="Q741" s="6">
        <v>1.0</v>
      </c>
      <c r="R741" s="6" t="s">
        <v>26</v>
      </c>
      <c r="S741" s="6" t="s">
        <v>27</v>
      </c>
      <c r="T741" s="6" t="s">
        <v>241</v>
      </c>
    </row>
    <row r="742">
      <c r="B742" s="6" t="s">
        <v>1703</v>
      </c>
      <c r="C742" s="1"/>
      <c r="D742" s="7" t="s">
        <v>20</v>
      </c>
      <c r="E742" s="1"/>
      <c r="F742" s="8" t="s">
        <v>1704</v>
      </c>
      <c r="G742" s="1"/>
      <c r="M742" s="1"/>
      <c r="N742" s="6">
        <v>0.0</v>
      </c>
      <c r="O742" s="6" t="s">
        <v>25</v>
      </c>
      <c r="P742" s="6"/>
      <c r="Q742" s="6">
        <v>1.0</v>
      </c>
      <c r="R742" s="6" t="s">
        <v>26</v>
      </c>
      <c r="S742" s="6" t="s">
        <v>27</v>
      </c>
      <c r="T742" s="6" t="s">
        <v>85</v>
      </c>
    </row>
    <row r="743">
      <c r="B743" s="6" t="s">
        <v>1705</v>
      </c>
      <c r="C743" s="1"/>
      <c r="D743" s="7" t="s">
        <v>20</v>
      </c>
      <c r="E743" s="1"/>
      <c r="F743" s="8" t="s">
        <v>1706</v>
      </c>
      <c r="G743" s="1"/>
      <c r="M743" s="1"/>
      <c r="N743" s="6">
        <v>0.0</v>
      </c>
      <c r="O743" s="6" t="s">
        <v>25</v>
      </c>
      <c r="P743" s="6"/>
      <c r="Q743" s="6">
        <v>1.0</v>
      </c>
      <c r="R743" s="6" t="s">
        <v>26</v>
      </c>
      <c r="S743" s="6" t="s">
        <v>27</v>
      </c>
      <c r="T743" s="6" t="s">
        <v>248</v>
      </c>
    </row>
    <row r="744">
      <c r="B744" s="6" t="s">
        <v>1707</v>
      </c>
      <c r="C744" s="1"/>
      <c r="D744" s="7" t="s">
        <v>50</v>
      </c>
      <c r="E744" s="7">
        <v>100.0</v>
      </c>
      <c r="F744" s="1"/>
      <c r="G744" s="8" t="s">
        <v>1708</v>
      </c>
      <c r="M744" s="1"/>
      <c r="N744" s="6">
        <v>1.0</v>
      </c>
      <c r="O744" s="6" t="s">
        <v>25</v>
      </c>
      <c r="P744" s="6"/>
      <c r="Q744" s="6">
        <v>1.0</v>
      </c>
      <c r="R744" s="6" t="s">
        <v>26</v>
      </c>
      <c r="S744" s="6" t="s">
        <v>27</v>
      </c>
      <c r="T744" s="6" t="s">
        <v>241</v>
      </c>
    </row>
    <row r="745">
      <c r="B745" s="6" t="s">
        <v>1709</v>
      </c>
      <c r="C745" s="1"/>
      <c r="D745" s="7" t="s">
        <v>20</v>
      </c>
      <c r="E745" s="1"/>
      <c r="F745" s="8" t="s">
        <v>1710</v>
      </c>
      <c r="G745" s="1"/>
      <c r="M745" s="1"/>
      <c r="N745" s="6">
        <v>0.0</v>
      </c>
      <c r="O745" s="6" t="s">
        <v>43</v>
      </c>
      <c r="P745" s="6"/>
      <c r="Q745" s="6">
        <v>1.0</v>
      </c>
      <c r="R745" s="6" t="s">
        <v>26</v>
      </c>
      <c r="S745" s="6" t="s">
        <v>27</v>
      </c>
      <c r="T745" s="6" t="s">
        <v>76</v>
      </c>
    </row>
    <row r="746">
      <c r="B746" s="6" t="s">
        <v>1711</v>
      </c>
      <c r="C746" s="1"/>
      <c r="D746" s="7" t="s">
        <v>20</v>
      </c>
      <c r="E746" s="1"/>
      <c r="F746" s="11" t="s">
        <v>1712</v>
      </c>
      <c r="G746" s="1"/>
      <c r="M746" s="1"/>
      <c r="N746" s="6">
        <v>0.0</v>
      </c>
      <c r="O746" s="6" t="s">
        <v>43</v>
      </c>
      <c r="P746" s="6"/>
      <c r="Q746" s="6">
        <v>1.0</v>
      </c>
      <c r="R746" s="6" t="s">
        <v>26</v>
      </c>
      <c r="S746" s="6" t="s">
        <v>27</v>
      </c>
      <c r="T746" s="6" t="s">
        <v>76</v>
      </c>
    </row>
    <row r="747">
      <c r="B747" s="6" t="s">
        <v>1713</v>
      </c>
      <c r="C747" s="1"/>
      <c r="D747" s="7" t="s">
        <v>20</v>
      </c>
      <c r="E747" s="1"/>
      <c r="F747" s="8" t="s">
        <v>1714</v>
      </c>
      <c r="G747" s="1"/>
      <c r="M747" s="1"/>
      <c r="N747" s="6">
        <v>0.0</v>
      </c>
      <c r="O747" s="6" t="s">
        <v>25</v>
      </c>
      <c r="P747" s="6"/>
      <c r="Q747" s="6">
        <v>1.0</v>
      </c>
      <c r="R747" s="6" t="s">
        <v>26</v>
      </c>
      <c r="S747" s="6" t="s">
        <v>27</v>
      </c>
      <c r="T747" s="6" t="s">
        <v>101</v>
      </c>
    </row>
    <row r="748">
      <c r="B748" s="6" t="s">
        <v>1715</v>
      </c>
      <c r="C748" s="1"/>
      <c r="D748" s="7" t="s">
        <v>30</v>
      </c>
      <c r="E748" s="1"/>
      <c r="F748" s="8" t="s">
        <v>1716</v>
      </c>
      <c r="G748" s="1"/>
      <c r="M748" s="1"/>
      <c r="N748" s="6">
        <v>0.0</v>
      </c>
      <c r="O748" s="6" t="s">
        <v>25</v>
      </c>
      <c r="P748" s="6"/>
      <c r="Q748" s="6">
        <v>1.0</v>
      </c>
      <c r="R748" s="6" t="s">
        <v>26</v>
      </c>
      <c r="S748" s="6" t="s">
        <v>27</v>
      </c>
      <c r="T748" s="6" t="s">
        <v>101</v>
      </c>
    </row>
    <row r="749">
      <c r="B749" s="6" t="s">
        <v>1717</v>
      </c>
      <c r="C749" s="1"/>
      <c r="D749" s="7" t="s">
        <v>30</v>
      </c>
      <c r="E749" s="1"/>
      <c r="F749" s="8" t="s">
        <v>1718</v>
      </c>
      <c r="G749" s="1"/>
      <c r="M749" s="1"/>
      <c r="N749" s="6">
        <v>0.0</v>
      </c>
      <c r="O749" s="6" t="s">
        <v>25</v>
      </c>
      <c r="P749" s="6"/>
      <c r="Q749" s="6">
        <v>1.0</v>
      </c>
      <c r="R749" s="6" t="s">
        <v>26</v>
      </c>
      <c r="S749" s="6" t="s">
        <v>27</v>
      </c>
      <c r="T749" s="6" t="s">
        <v>73</v>
      </c>
    </row>
    <row r="750">
      <c r="B750" s="6" t="s">
        <v>1719</v>
      </c>
      <c r="C750" s="1"/>
      <c r="D750" s="7" t="s">
        <v>30</v>
      </c>
      <c r="E750" s="1"/>
      <c r="F750" s="8" t="s">
        <v>1720</v>
      </c>
      <c r="G750" s="1"/>
      <c r="M750" s="1"/>
      <c r="N750" s="6">
        <v>0.0</v>
      </c>
      <c r="O750" s="6" t="s">
        <v>25</v>
      </c>
      <c r="P750" s="6"/>
      <c r="Q750" s="6">
        <v>1.0</v>
      </c>
      <c r="R750" s="6" t="s">
        <v>26</v>
      </c>
      <c r="S750" s="6" t="s">
        <v>27</v>
      </c>
      <c r="T750" s="6" t="s">
        <v>131</v>
      </c>
    </row>
    <row r="751">
      <c r="B751" s="6" t="s">
        <v>1721</v>
      </c>
      <c r="C751" s="1"/>
      <c r="D751" s="7" t="s">
        <v>30</v>
      </c>
      <c r="E751" s="1"/>
      <c r="F751" s="8" t="s">
        <v>1722</v>
      </c>
      <c r="G751" s="1"/>
      <c r="M751" s="1"/>
      <c r="N751" s="6">
        <v>0.0</v>
      </c>
      <c r="O751" s="6" t="s">
        <v>25</v>
      </c>
      <c r="P751" s="6"/>
      <c r="Q751" s="6">
        <v>1.0</v>
      </c>
      <c r="R751" s="6" t="s">
        <v>26</v>
      </c>
      <c r="S751" s="6" t="s">
        <v>27</v>
      </c>
      <c r="T751" s="6" t="s">
        <v>28</v>
      </c>
    </row>
    <row r="752">
      <c r="B752" s="6" t="s">
        <v>1723</v>
      </c>
      <c r="C752" s="1"/>
      <c r="D752" s="7" t="s">
        <v>30</v>
      </c>
      <c r="E752" s="1"/>
      <c r="F752" s="8" t="s">
        <v>1724</v>
      </c>
      <c r="G752" s="1"/>
      <c r="M752" s="1"/>
      <c r="N752" s="6">
        <v>0.0</v>
      </c>
      <c r="O752" s="6" t="s">
        <v>25</v>
      </c>
      <c r="P752" s="6"/>
      <c r="Q752" s="6">
        <v>1.0</v>
      </c>
      <c r="R752" s="6" t="s">
        <v>26</v>
      </c>
      <c r="S752" s="6" t="s">
        <v>27</v>
      </c>
      <c r="T752" s="6" t="s">
        <v>44</v>
      </c>
    </row>
    <row r="753">
      <c r="B753" s="6" t="s">
        <v>1725</v>
      </c>
      <c r="C753" s="1"/>
      <c r="D753" s="7" t="s">
        <v>30</v>
      </c>
      <c r="E753" s="1"/>
      <c r="F753" s="8" t="s">
        <v>1726</v>
      </c>
      <c r="G753" s="1"/>
      <c r="M753" s="1"/>
      <c r="N753" s="6">
        <v>0.0</v>
      </c>
      <c r="O753" s="6" t="s">
        <v>25</v>
      </c>
      <c r="P753" s="6"/>
      <c r="Q753" s="6">
        <v>1.0</v>
      </c>
      <c r="R753" s="6" t="s">
        <v>26</v>
      </c>
      <c r="S753" s="6" t="s">
        <v>27</v>
      </c>
      <c r="T753" s="6" t="s">
        <v>76</v>
      </c>
    </row>
    <row r="754">
      <c r="B754" s="6" t="s">
        <v>1727</v>
      </c>
      <c r="C754" s="1"/>
      <c r="D754" s="7" t="s">
        <v>30</v>
      </c>
      <c r="E754" s="1"/>
      <c r="F754" s="8" t="s">
        <v>1728</v>
      </c>
      <c r="G754" s="1"/>
      <c r="M754" s="1"/>
      <c r="N754" s="6">
        <v>0.0</v>
      </c>
      <c r="O754" s="6" t="s">
        <v>25</v>
      </c>
      <c r="P754" s="6"/>
      <c r="Q754" s="6">
        <v>1.0</v>
      </c>
      <c r="R754" s="6" t="s">
        <v>26</v>
      </c>
      <c r="S754" s="6" t="s">
        <v>27</v>
      </c>
      <c r="T754" s="6" t="s">
        <v>128</v>
      </c>
    </row>
    <row r="755">
      <c r="B755" s="6" t="s">
        <v>1729</v>
      </c>
      <c r="C755" s="1"/>
      <c r="D755" s="7" t="s">
        <v>20</v>
      </c>
      <c r="E755" s="1"/>
      <c r="F755" s="8" t="s">
        <v>1730</v>
      </c>
      <c r="G755" s="1"/>
      <c r="M755" s="1"/>
      <c r="N755" s="6">
        <v>0.0</v>
      </c>
      <c r="O755" s="6" t="s">
        <v>25</v>
      </c>
      <c r="P755" s="6"/>
      <c r="Q755" s="6">
        <v>1.0</v>
      </c>
      <c r="R755" s="6" t="s">
        <v>26</v>
      </c>
      <c r="S755" s="6" t="s">
        <v>27</v>
      </c>
      <c r="T755" s="6" t="s">
        <v>131</v>
      </c>
    </row>
    <row r="756">
      <c r="B756" s="6" t="s">
        <v>1731</v>
      </c>
      <c r="C756" s="1"/>
      <c r="D756" s="7" t="s">
        <v>20</v>
      </c>
      <c r="E756" s="1"/>
      <c r="F756" s="8" t="s">
        <v>1732</v>
      </c>
      <c r="G756" s="1"/>
      <c r="M756" s="1"/>
      <c r="N756" s="6">
        <v>0.0</v>
      </c>
      <c r="O756" s="6" t="s">
        <v>25</v>
      </c>
      <c r="P756" s="6"/>
      <c r="Q756" s="6">
        <v>1.0</v>
      </c>
      <c r="R756" s="6" t="s">
        <v>26</v>
      </c>
      <c r="S756" s="6" t="s">
        <v>27</v>
      </c>
      <c r="T756" s="6" t="s">
        <v>101</v>
      </c>
    </row>
    <row r="757">
      <c r="B757" s="6" t="s">
        <v>1733</v>
      </c>
      <c r="C757" s="1"/>
      <c r="D757" s="7" t="s">
        <v>20</v>
      </c>
      <c r="E757" s="1"/>
      <c r="F757" s="8" t="s">
        <v>1734</v>
      </c>
      <c r="G757" s="1"/>
      <c r="M757" s="1"/>
      <c r="N757" s="6">
        <v>0.0</v>
      </c>
      <c r="O757" s="6" t="s">
        <v>25</v>
      </c>
      <c r="P757" s="6"/>
      <c r="Q757" s="6">
        <v>1.0</v>
      </c>
      <c r="R757" s="6" t="s">
        <v>26</v>
      </c>
      <c r="S757" s="6" t="s">
        <v>27</v>
      </c>
      <c r="T757" s="6" t="s">
        <v>85</v>
      </c>
    </row>
    <row r="758">
      <c r="B758" s="6" t="s">
        <v>1735</v>
      </c>
      <c r="C758" s="1"/>
      <c r="D758" s="7" t="s">
        <v>20</v>
      </c>
      <c r="E758" s="1"/>
      <c r="F758" s="8" t="s">
        <v>1736</v>
      </c>
      <c r="G758" s="1"/>
      <c r="M758" s="1"/>
      <c r="N758" s="6">
        <v>0.0</v>
      </c>
      <c r="O758" s="6" t="s">
        <v>25</v>
      </c>
      <c r="P758" s="6"/>
      <c r="Q758" s="6">
        <v>1.0</v>
      </c>
      <c r="R758" s="6" t="s">
        <v>26</v>
      </c>
      <c r="S758" s="6" t="s">
        <v>27</v>
      </c>
      <c r="T758" s="6" t="s">
        <v>131</v>
      </c>
    </row>
    <row r="759">
      <c r="B759" s="6" t="s">
        <v>1737</v>
      </c>
      <c r="C759" s="1"/>
      <c r="D759" s="7" t="s">
        <v>20</v>
      </c>
      <c r="E759" s="1"/>
      <c r="F759" s="8" t="s">
        <v>1738</v>
      </c>
      <c r="G759" s="1"/>
      <c r="M759" s="1"/>
      <c r="N759" s="6">
        <v>0.0</v>
      </c>
      <c r="O759" s="6" t="s">
        <v>25</v>
      </c>
      <c r="P759" s="6"/>
      <c r="Q759" s="6">
        <v>1.0</v>
      </c>
      <c r="R759" s="6" t="s">
        <v>26</v>
      </c>
      <c r="S759" s="6" t="s">
        <v>27</v>
      </c>
      <c r="T759" s="6" t="s">
        <v>76</v>
      </c>
    </row>
    <row r="760">
      <c r="C760" s="1"/>
      <c r="D760" s="1"/>
      <c r="E760" s="1"/>
      <c r="F760" s="1"/>
      <c r="G760" s="1"/>
      <c r="M760" s="1"/>
    </row>
    <row r="761">
      <c r="C761" s="1"/>
      <c r="D761" s="1"/>
      <c r="E761" s="1"/>
      <c r="F761" s="1"/>
      <c r="G761" s="1"/>
      <c r="M761" s="1"/>
    </row>
    <row r="762">
      <c r="C762" s="1"/>
      <c r="D762" s="1"/>
      <c r="E762" s="1"/>
      <c r="F762" s="1"/>
      <c r="G762" s="1"/>
      <c r="M762" s="1"/>
    </row>
    <row r="763">
      <c r="C763" s="1"/>
      <c r="D763" s="1"/>
      <c r="E763" s="1"/>
      <c r="F763" s="1"/>
      <c r="G763" s="1"/>
      <c r="M763" s="1"/>
    </row>
    <row r="764">
      <c r="C764" s="1"/>
      <c r="D764" s="1"/>
      <c r="E764" s="1"/>
      <c r="F764" s="1"/>
      <c r="G764" s="1"/>
      <c r="M764" s="1"/>
    </row>
    <row r="765">
      <c r="C765" s="1"/>
      <c r="D765" s="1"/>
      <c r="E765" s="1"/>
      <c r="F765" s="1"/>
      <c r="G765" s="1"/>
      <c r="M765" s="1"/>
    </row>
    <row r="766">
      <c r="C766" s="1"/>
      <c r="D766" s="1"/>
      <c r="E766" s="1"/>
      <c r="F766" s="1"/>
      <c r="G766" s="1"/>
      <c r="M766" s="1"/>
    </row>
    <row r="767">
      <c r="C767" s="1"/>
      <c r="D767" s="1"/>
      <c r="E767" s="1"/>
      <c r="F767" s="1"/>
      <c r="G767" s="1"/>
      <c r="M767" s="1"/>
    </row>
    <row r="768">
      <c r="C768" s="1"/>
      <c r="D768" s="1"/>
      <c r="E768" s="1"/>
      <c r="F768" s="1"/>
      <c r="G768" s="1"/>
      <c r="M768" s="1"/>
    </row>
    <row r="769">
      <c r="C769" s="1"/>
      <c r="D769" s="1"/>
      <c r="E769" s="1"/>
      <c r="F769" s="1"/>
      <c r="G769" s="1"/>
      <c r="M769" s="1"/>
    </row>
    <row r="770">
      <c r="C770" s="1"/>
      <c r="D770" s="1"/>
      <c r="E770" s="1"/>
      <c r="F770" s="1"/>
      <c r="G770" s="1"/>
      <c r="M770" s="1"/>
    </row>
    <row r="771">
      <c r="C771" s="1"/>
      <c r="D771" s="1"/>
      <c r="E771" s="1"/>
      <c r="F771" s="1"/>
      <c r="G771" s="1"/>
      <c r="M771" s="1"/>
    </row>
    <row r="772">
      <c r="C772" s="1"/>
      <c r="D772" s="1"/>
      <c r="E772" s="1"/>
      <c r="F772" s="1"/>
      <c r="G772" s="1"/>
      <c r="M772" s="1"/>
    </row>
    <row r="773">
      <c r="C773" s="1"/>
      <c r="D773" s="1"/>
      <c r="E773" s="1"/>
      <c r="F773" s="1"/>
      <c r="G773" s="1"/>
      <c r="M773" s="1"/>
    </row>
    <row r="774">
      <c r="C774" s="1"/>
      <c r="D774" s="1"/>
      <c r="E774" s="1"/>
      <c r="F774" s="1"/>
      <c r="G774" s="1"/>
      <c r="M774" s="1"/>
    </row>
    <row r="775">
      <c r="C775" s="1"/>
      <c r="D775" s="1"/>
      <c r="E775" s="1"/>
      <c r="F775" s="1"/>
      <c r="G775" s="1"/>
      <c r="M775" s="1"/>
    </row>
    <row r="776">
      <c r="C776" s="1"/>
      <c r="D776" s="1"/>
      <c r="E776" s="1"/>
      <c r="F776" s="1"/>
      <c r="G776" s="1"/>
      <c r="M776" s="1"/>
    </row>
    <row r="777">
      <c r="C777" s="1"/>
      <c r="D777" s="1"/>
      <c r="E777" s="1"/>
      <c r="F777" s="1"/>
      <c r="G777" s="1"/>
      <c r="M777" s="1"/>
    </row>
    <row r="778">
      <c r="C778" s="1"/>
      <c r="D778" s="1"/>
      <c r="E778" s="1"/>
      <c r="F778" s="1"/>
      <c r="G778" s="1"/>
      <c r="M778" s="1"/>
    </row>
    <row r="779">
      <c r="C779" s="1"/>
      <c r="D779" s="1"/>
      <c r="E779" s="1"/>
      <c r="F779" s="1"/>
      <c r="G779" s="1"/>
      <c r="M779" s="1"/>
    </row>
    <row r="780">
      <c r="C780" s="1"/>
      <c r="D780" s="1"/>
      <c r="E780" s="1"/>
      <c r="F780" s="1"/>
      <c r="G780" s="1"/>
      <c r="M780" s="1"/>
    </row>
    <row r="781">
      <c r="C781" s="1"/>
      <c r="D781" s="1"/>
      <c r="E781" s="1"/>
      <c r="F781" s="1"/>
      <c r="G781" s="1"/>
      <c r="M781" s="1"/>
    </row>
    <row r="782">
      <c r="C782" s="1"/>
      <c r="D782" s="1"/>
      <c r="E782" s="1"/>
      <c r="F782" s="1"/>
      <c r="G782" s="1"/>
      <c r="M782" s="1"/>
    </row>
    <row r="783">
      <c r="C783" s="1"/>
      <c r="D783" s="1"/>
      <c r="E783" s="1"/>
      <c r="F783" s="1"/>
      <c r="G783" s="1"/>
      <c r="M783" s="1"/>
    </row>
    <row r="784">
      <c r="C784" s="1"/>
      <c r="D784" s="1"/>
      <c r="E784" s="1"/>
      <c r="F784" s="1"/>
      <c r="G784" s="1"/>
      <c r="M784" s="1"/>
    </row>
    <row r="785">
      <c r="C785" s="1"/>
      <c r="D785" s="1"/>
      <c r="E785" s="1"/>
      <c r="F785" s="1"/>
      <c r="G785" s="1"/>
      <c r="M785" s="1"/>
    </row>
    <row r="786">
      <c r="C786" s="1"/>
      <c r="D786" s="1"/>
      <c r="E786" s="1"/>
      <c r="F786" s="1"/>
      <c r="G786" s="1"/>
      <c r="M786" s="1"/>
    </row>
    <row r="787">
      <c r="C787" s="1"/>
      <c r="D787" s="1"/>
      <c r="E787" s="1"/>
      <c r="F787" s="1"/>
      <c r="G787" s="1"/>
      <c r="M787" s="1"/>
    </row>
    <row r="788">
      <c r="C788" s="1"/>
      <c r="D788" s="1"/>
      <c r="E788" s="1"/>
      <c r="F788" s="1"/>
      <c r="G788" s="1"/>
      <c r="M788" s="1"/>
    </row>
    <row r="789">
      <c r="C789" s="1"/>
      <c r="D789" s="1"/>
      <c r="E789" s="1"/>
      <c r="F789" s="1"/>
      <c r="G789" s="1"/>
      <c r="M789" s="1"/>
    </row>
    <row r="790">
      <c r="C790" s="1"/>
      <c r="D790" s="1"/>
      <c r="E790" s="1"/>
      <c r="F790" s="1"/>
      <c r="G790" s="1"/>
      <c r="M790" s="1"/>
    </row>
    <row r="791">
      <c r="C791" s="1"/>
      <c r="D791" s="1"/>
      <c r="E791" s="1"/>
      <c r="F791" s="1"/>
      <c r="G791" s="1"/>
      <c r="M791" s="1"/>
    </row>
    <row r="792">
      <c r="C792" s="1"/>
      <c r="D792" s="1"/>
      <c r="E792" s="1"/>
      <c r="F792" s="1"/>
      <c r="G792" s="1"/>
      <c r="M792" s="1"/>
    </row>
    <row r="793">
      <c r="C793" s="1"/>
      <c r="D793" s="1"/>
      <c r="E793" s="1"/>
      <c r="F793" s="1"/>
      <c r="G793" s="1"/>
      <c r="M793" s="1"/>
    </row>
    <row r="794">
      <c r="C794" s="1"/>
      <c r="D794" s="1"/>
      <c r="E794" s="1"/>
      <c r="F794" s="1"/>
      <c r="G794" s="1"/>
      <c r="M794" s="1"/>
    </row>
    <row r="795">
      <c r="C795" s="1"/>
      <c r="D795" s="1"/>
      <c r="E795" s="1"/>
      <c r="F795" s="1"/>
      <c r="G795" s="1"/>
      <c r="M795" s="1"/>
    </row>
    <row r="796">
      <c r="C796" s="1"/>
      <c r="D796" s="1"/>
      <c r="E796" s="1"/>
      <c r="F796" s="1"/>
      <c r="G796" s="1"/>
      <c r="M796" s="1"/>
    </row>
    <row r="797">
      <c r="C797" s="1"/>
      <c r="D797" s="1"/>
      <c r="E797" s="1"/>
      <c r="F797" s="1"/>
      <c r="G797" s="1"/>
      <c r="M797" s="1"/>
    </row>
    <row r="798">
      <c r="C798" s="1"/>
      <c r="D798" s="1"/>
      <c r="E798" s="1"/>
      <c r="F798" s="1"/>
      <c r="G798" s="1"/>
      <c r="M798" s="1"/>
    </row>
    <row r="799">
      <c r="C799" s="1"/>
      <c r="D799" s="1"/>
      <c r="E799" s="1"/>
      <c r="F799" s="1"/>
      <c r="G799" s="1"/>
      <c r="M799" s="1"/>
    </row>
    <row r="800">
      <c r="C800" s="1"/>
      <c r="D800" s="1"/>
      <c r="E800" s="1"/>
      <c r="F800" s="1"/>
      <c r="G800" s="1"/>
      <c r="M800" s="1"/>
    </row>
    <row r="801">
      <c r="C801" s="1"/>
      <c r="D801" s="1"/>
      <c r="E801" s="1"/>
      <c r="F801" s="1"/>
      <c r="G801" s="1"/>
      <c r="M801" s="1"/>
    </row>
    <row r="802">
      <c r="C802" s="1"/>
      <c r="D802" s="1"/>
      <c r="E802" s="1"/>
      <c r="F802" s="1"/>
      <c r="G802" s="1"/>
      <c r="M802" s="1"/>
    </row>
    <row r="803">
      <c r="C803" s="1"/>
      <c r="D803" s="1"/>
      <c r="E803" s="1"/>
      <c r="F803" s="1"/>
      <c r="G803" s="1"/>
      <c r="M803" s="1"/>
    </row>
    <row r="804">
      <c r="C804" s="1"/>
      <c r="D804" s="1"/>
      <c r="E804" s="1"/>
      <c r="F804" s="1"/>
      <c r="G804" s="1"/>
      <c r="M804" s="1"/>
    </row>
    <row r="805">
      <c r="C805" s="1"/>
      <c r="D805" s="1"/>
      <c r="E805" s="1"/>
      <c r="F805" s="1"/>
      <c r="G805" s="1"/>
      <c r="M805" s="1"/>
    </row>
    <row r="806">
      <c r="C806" s="1"/>
      <c r="D806" s="1"/>
      <c r="E806" s="1"/>
      <c r="F806" s="1"/>
      <c r="G806" s="1"/>
      <c r="M806" s="1"/>
    </row>
    <row r="807">
      <c r="C807" s="1"/>
      <c r="D807" s="1"/>
      <c r="E807" s="1"/>
      <c r="F807" s="1"/>
      <c r="G807" s="1"/>
      <c r="M807" s="1"/>
    </row>
    <row r="808">
      <c r="C808" s="1"/>
      <c r="D808" s="1"/>
      <c r="E808" s="1"/>
      <c r="F808" s="1"/>
      <c r="G808" s="1"/>
      <c r="M808" s="1"/>
    </row>
    <row r="809">
      <c r="C809" s="1"/>
      <c r="D809" s="1"/>
      <c r="E809" s="1"/>
      <c r="F809" s="1"/>
      <c r="G809" s="1"/>
      <c r="M809" s="1"/>
    </row>
    <row r="810">
      <c r="C810" s="1"/>
      <c r="D810" s="1"/>
      <c r="E810" s="1"/>
      <c r="F810" s="1"/>
      <c r="G810" s="1"/>
      <c r="M810" s="1"/>
    </row>
    <row r="811">
      <c r="C811" s="1"/>
      <c r="D811" s="1"/>
      <c r="E811" s="1"/>
      <c r="F811" s="1"/>
      <c r="G811" s="1"/>
      <c r="M811" s="1"/>
    </row>
    <row r="812">
      <c r="C812" s="1"/>
      <c r="D812" s="1"/>
      <c r="E812" s="1"/>
      <c r="F812" s="1"/>
      <c r="G812" s="1"/>
      <c r="M812" s="1"/>
    </row>
    <row r="813">
      <c r="C813" s="1"/>
      <c r="D813" s="1"/>
      <c r="E813" s="1"/>
      <c r="F813" s="1"/>
      <c r="G813" s="1"/>
      <c r="M813" s="1"/>
    </row>
    <row r="814">
      <c r="C814" s="1"/>
      <c r="D814" s="1"/>
      <c r="E814" s="1"/>
      <c r="F814" s="1"/>
      <c r="G814" s="1"/>
      <c r="M814" s="1"/>
    </row>
    <row r="815">
      <c r="C815" s="1"/>
      <c r="D815" s="1"/>
      <c r="E815" s="1"/>
      <c r="F815" s="1"/>
      <c r="G815" s="1"/>
      <c r="M815" s="1"/>
    </row>
    <row r="816">
      <c r="C816" s="1"/>
      <c r="D816" s="1"/>
      <c r="E816" s="1"/>
      <c r="F816" s="1"/>
      <c r="G816" s="1"/>
      <c r="M816" s="1"/>
    </row>
    <row r="817">
      <c r="C817" s="1"/>
      <c r="D817" s="1"/>
      <c r="E817" s="1"/>
      <c r="F817" s="1"/>
      <c r="G817" s="1"/>
      <c r="M817" s="1"/>
    </row>
    <row r="818">
      <c r="C818" s="1"/>
      <c r="D818" s="1"/>
      <c r="E818" s="1"/>
      <c r="F818" s="1"/>
      <c r="G818" s="1"/>
      <c r="M818" s="1"/>
    </row>
    <row r="819">
      <c r="C819" s="1"/>
      <c r="D819" s="1"/>
      <c r="E819" s="1"/>
      <c r="F819" s="1"/>
      <c r="G819" s="1"/>
      <c r="M819" s="1"/>
    </row>
    <row r="820">
      <c r="C820" s="1"/>
      <c r="D820" s="1"/>
      <c r="E820" s="1"/>
      <c r="F820" s="1"/>
      <c r="G820" s="1"/>
      <c r="M820" s="1"/>
    </row>
    <row r="821">
      <c r="C821" s="1"/>
      <c r="D821" s="1"/>
      <c r="E821" s="1"/>
      <c r="F821" s="1"/>
      <c r="G821" s="1"/>
      <c r="M821" s="1"/>
    </row>
    <row r="822">
      <c r="C822" s="1"/>
      <c r="D822" s="1"/>
      <c r="E822" s="1"/>
      <c r="F822" s="1"/>
      <c r="G822" s="1"/>
      <c r="M822" s="1"/>
    </row>
    <row r="823">
      <c r="C823" s="1"/>
      <c r="D823" s="1"/>
      <c r="E823" s="1"/>
      <c r="F823" s="1"/>
      <c r="G823" s="1"/>
      <c r="M823" s="1"/>
    </row>
    <row r="824">
      <c r="C824" s="1"/>
      <c r="D824" s="1"/>
      <c r="E824" s="1"/>
      <c r="F824" s="1"/>
      <c r="G824" s="1"/>
      <c r="M824" s="1"/>
    </row>
    <row r="825">
      <c r="C825" s="1"/>
      <c r="D825" s="1"/>
      <c r="E825" s="1"/>
      <c r="F825" s="1"/>
      <c r="G825" s="1"/>
      <c r="M825" s="1"/>
    </row>
    <row r="826">
      <c r="C826" s="1"/>
      <c r="D826" s="1"/>
      <c r="E826" s="1"/>
      <c r="F826" s="1"/>
      <c r="G826" s="1"/>
      <c r="M826" s="1"/>
    </row>
    <row r="827">
      <c r="C827" s="1"/>
      <c r="D827" s="1"/>
      <c r="E827" s="1"/>
      <c r="F827" s="1"/>
      <c r="G827" s="1"/>
      <c r="M827" s="1"/>
    </row>
    <row r="828">
      <c r="C828" s="1"/>
      <c r="D828" s="1"/>
      <c r="E828" s="1"/>
      <c r="F828" s="1"/>
      <c r="G828" s="1"/>
      <c r="M828" s="1"/>
    </row>
    <row r="829">
      <c r="C829" s="1"/>
      <c r="D829" s="1"/>
      <c r="E829" s="1"/>
      <c r="F829" s="1"/>
      <c r="G829" s="1"/>
      <c r="M829" s="1"/>
    </row>
    <row r="830">
      <c r="C830" s="1"/>
      <c r="D830" s="1"/>
      <c r="E830" s="1"/>
      <c r="F830" s="1"/>
      <c r="G830" s="1"/>
      <c r="M830" s="1"/>
    </row>
    <row r="831">
      <c r="C831" s="1"/>
      <c r="D831" s="1"/>
      <c r="E831" s="1"/>
      <c r="F831" s="1"/>
      <c r="G831" s="1"/>
      <c r="M831" s="1"/>
    </row>
    <row r="832">
      <c r="C832" s="1"/>
      <c r="D832" s="1"/>
      <c r="E832" s="1"/>
      <c r="F832" s="1"/>
      <c r="G832" s="1"/>
      <c r="M832" s="1"/>
    </row>
    <row r="833">
      <c r="C833" s="1"/>
      <c r="D833" s="1"/>
      <c r="E833" s="1"/>
      <c r="F833" s="1"/>
      <c r="G833" s="1"/>
      <c r="M833" s="1"/>
    </row>
    <row r="834">
      <c r="C834" s="1"/>
      <c r="D834" s="1"/>
      <c r="E834" s="1"/>
      <c r="F834" s="1"/>
      <c r="G834" s="1"/>
      <c r="M834" s="1"/>
    </row>
    <row r="835">
      <c r="C835" s="1"/>
      <c r="D835" s="1"/>
      <c r="E835" s="1"/>
      <c r="F835" s="1"/>
      <c r="G835" s="1"/>
      <c r="M835" s="1"/>
    </row>
    <row r="836">
      <c r="C836" s="1"/>
      <c r="D836" s="1"/>
      <c r="E836" s="1"/>
      <c r="F836" s="1"/>
      <c r="G836" s="1"/>
      <c r="M836" s="1"/>
    </row>
    <row r="837">
      <c r="C837" s="1"/>
      <c r="D837" s="1"/>
      <c r="E837" s="1"/>
      <c r="F837" s="1"/>
      <c r="G837" s="1"/>
      <c r="M837" s="1"/>
    </row>
    <row r="838">
      <c r="C838" s="1"/>
      <c r="D838" s="1"/>
      <c r="E838" s="1"/>
      <c r="F838" s="1"/>
      <c r="G838" s="1"/>
      <c r="M838" s="1"/>
    </row>
    <row r="839">
      <c r="C839" s="1"/>
      <c r="D839" s="1"/>
      <c r="E839" s="1"/>
      <c r="F839" s="1"/>
      <c r="G839" s="1"/>
      <c r="M839" s="1"/>
    </row>
    <row r="840">
      <c r="C840" s="1"/>
      <c r="D840" s="1"/>
      <c r="E840" s="1"/>
      <c r="F840" s="1"/>
      <c r="G840" s="1"/>
      <c r="M840" s="1"/>
    </row>
    <row r="841">
      <c r="C841" s="1"/>
      <c r="D841" s="1"/>
      <c r="E841" s="1"/>
      <c r="F841" s="1"/>
      <c r="G841" s="1"/>
      <c r="M841" s="1"/>
    </row>
    <row r="842">
      <c r="C842" s="1"/>
      <c r="D842" s="1"/>
      <c r="E842" s="1"/>
      <c r="F842" s="1"/>
      <c r="G842" s="1"/>
      <c r="M842" s="1"/>
    </row>
    <row r="843">
      <c r="C843" s="1"/>
      <c r="D843" s="1"/>
      <c r="E843" s="1"/>
      <c r="F843" s="1"/>
      <c r="G843" s="1"/>
      <c r="M843" s="1"/>
    </row>
    <row r="844">
      <c r="C844" s="1"/>
      <c r="D844" s="1"/>
      <c r="E844" s="1"/>
      <c r="F844" s="1"/>
      <c r="G844" s="1"/>
      <c r="M844" s="1"/>
    </row>
    <row r="845">
      <c r="C845" s="1"/>
      <c r="D845" s="1"/>
      <c r="E845" s="1"/>
      <c r="F845" s="1"/>
      <c r="G845" s="1"/>
      <c r="M845" s="1"/>
    </row>
    <row r="846">
      <c r="C846" s="1"/>
      <c r="D846" s="1"/>
      <c r="E846" s="1"/>
      <c r="F846" s="1"/>
      <c r="G846" s="1"/>
      <c r="M846" s="1"/>
    </row>
    <row r="847">
      <c r="C847" s="1"/>
      <c r="D847" s="1"/>
      <c r="E847" s="1"/>
      <c r="F847" s="1"/>
      <c r="G847" s="1"/>
      <c r="M847" s="1"/>
    </row>
    <row r="848">
      <c r="C848" s="1"/>
      <c r="D848" s="1"/>
      <c r="E848" s="1"/>
      <c r="F848" s="1"/>
      <c r="G848" s="1"/>
      <c r="M848" s="1"/>
    </row>
    <row r="849">
      <c r="C849" s="1"/>
      <c r="D849" s="1"/>
      <c r="E849" s="1"/>
      <c r="F849" s="1"/>
      <c r="G849" s="1"/>
      <c r="M849" s="1"/>
    </row>
    <row r="850">
      <c r="C850" s="1"/>
      <c r="D850" s="1"/>
      <c r="E850" s="1"/>
      <c r="F850" s="1"/>
      <c r="G850" s="1"/>
      <c r="M850" s="1"/>
    </row>
    <row r="851">
      <c r="C851" s="1"/>
      <c r="D851" s="1"/>
      <c r="E851" s="1"/>
      <c r="F851" s="1"/>
      <c r="G851" s="1"/>
      <c r="M851" s="1"/>
    </row>
    <row r="852">
      <c r="C852" s="1"/>
      <c r="D852" s="1"/>
      <c r="E852" s="1"/>
      <c r="F852" s="1"/>
      <c r="G852" s="1"/>
      <c r="M852" s="1"/>
    </row>
    <row r="853">
      <c r="C853" s="1"/>
      <c r="D853" s="1"/>
      <c r="E853" s="1"/>
      <c r="F853" s="1"/>
      <c r="G853" s="1"/>
      <c r="M853" s="1"/>
    </row>
    <row r="854">
      <c r="C854" s="1"/>
      <c r="D854" s="1"/>
      <c r="E854" s="1"/>
      <c r="F854" s="1"/>
      <c r="G854" s="1"/>
      <c r="M854" s="1"/>
    </row>
    <row r="855">
      <c r="C855" s="1"/>
      <c r="D855" s="1"/>
      <c r="E855" s="1"/>
      <c r="F855" s="1"/>
      <c r="G855" s="1"/>
      <c r="M855" s="1"/>
    </row>
    <row r="856">
      <c r="C856" s="1"/>
      <c r="D856" s="1"/>
      <c r="E856" s="1"/>
      <c r="F856" s="1"/>
      <c r="G856" s="1"/>
      <c r="M856" s="1"/>
    </row>
    <row r="857">
      <c r="C857" s="1"/>
      <c r="D857" s="1"/>
      <c r="E857" s="1"/>
      <c r="F857" s="1"/>
      <c r="G857" s="1"/>
      <c r="M857" s="1"/>
    </row>
    <row r="858">
      <c r="C858" s="1"/>
      <c r="D858" s="1"/>
      <c r="E858" s="1"/>
      <c r="F858" s="1"/>
      <c r="G858" s="1"/>
      <c r="M858" s="1"/>
    </row>
    <row r="859">
      <c r="C859" s="1"/>
      <c r="D859" s="1"/>
      <c r="E859" s="1"/>
      <c r="F859" s="1"/>
      <c r="G859" s="1"/>
      <c r="M859" s="1"/>
    </row>
    <row r="860">
      <c r="C860" s="1"/>
      <c r="D860" s="1"/>
      <c r="E860" s="1"/>
      <c r="F860" s="1"/>
      <c r="G860" s="1"/>
      <c r="M860" s="1"/>
    </row>
    <row r="861">
      <c r="C861" s="1"/>
      <c r="D861" s="1"/>
      <c r="E861" s="1"/>
      <c r="F861" s="1"/>
      <c r="G861" s="1"/>
      <c r="M861" s="1"/>
    </row>
    <row r="862">
      <c r="C862" s="1"/>
      <c r="D862" s="1"/>
      <c r="E862" s="1"/>
      <c r="F862" s="1"/>
      <c r="G862" s="1"/>
      <c r="M862" s="1"/>
    </row>
    <row r="863">
      <c r="C863" s="1"/>
      <c r="D863" s="1"/>
      <c r="E863" s="1"/>
      <c r="F863" s="1"/>
      <c r="G863" s="1"/>
      <c r="M863" s="1"/>
    </row>
    <row r="864">
      <c r="C864" s="1"/>
      <c r="D864" s="1"/>
      <c r="E864" s="1"/>
      <c r="F864" s="1"/>
      <c r="G864" s="1"/>
      <c r="M864" s="1"/>
    </row>
    <row r="865">
      <c r="C865" s="1"/>
      <c r="D865" s="1"/>
      <c r="E865" s="1"/>
      <c r="F865" s="1"/>
      <c r="G865" s="1"/>
      <c r="M865" s="1"/>
    </row>
    <row r="866">
      <c r="C866" s="1"/>
      <c r="D866" s="1"/>
      <c r="E866" s="1"/>
      <c r="F866" s="1"/>
      <c r="G866" s="1"/>
      <c r="M866" s="1"/>
    </row>
    <row r="867">
      <c r="C867" s="1"/>
      <c r="D867" s="1"/>
      <c r="E867" s="1"/>
      <c r="F867" s="1"/>
      <c r="G867" s="1"/>
      <c r="M867" s="1"/>
    </row>
    <row r="868">
      <c r="C868" s="1"/>
      <c r="D868" s="1"/>
      <c r="E868" s="1"/>
      <c r="F868" s="1"/>
      <c r="G868" s="1"/>
      <c r="M868" s="1"/>
    </row>
    <row r="869">
      <c r="C869" s="1"/>
      <c r="D869" s="1"/>
      <c r="E869" s="1"/>
      <c r="F869" s="1"/>
      <c r="G869" s="1"/>
      <c r="M869" s="1"/>
    </row>
    <row r="870">
      <c r="C870" s="1"/>
      <c r="D870" s="1"/>
      <c r="E870" s="1"/>
      <c r="F870" s="1"/>
      <c r="G870" s="1"/>
      <c r="M870" s="1"/>
    </row>
    <row r="871">
      <c r="C871" s="1"/>
      <c r="D871" s="1"/>
      <c r="E871" s="1"/>
      <c r="F871" s="1"/>
      <c r="G871" s="1"/>
      <c r="M871" s="1"/>
    </row>
    <row r="872">
      <c r="C872" s="1"/>
      <c r="D872" s="1"/>
      <c r="E872" s="1"/>
      <c r="F872" s="1"/>
      <c r="G872" s="1"/>
      <c r="M872" s="1"/>
    </row>
    <row r="873">
      <c r="C873" s="1"/>
      <c r="D873" s="1"/>
      <c r="E873" s="1"/>
      <c r="F873" s="1"/>
      <c r="G873" s="1"/>
      <c r="M873" s="1"/>
    </row>
    <row r="874">
      <c r="C874" s="1"/>
      <c r="D874" s="1"/>
      <c r="E874" s="1"/>
      <c r="F874" s="1"/>
      <c r="G874" s="1"/>
      <c r="M874" s="1"/>
    </row>
    <row r="875">
      <c r="C875" s="1"/>
      <c r="D875" s="1"/>
      <c r="E875" s="1"/>
      <c r="F875" s="1"/>
      <c r="G875" s="1"/>
      <c r="M875" s="1"/>
    </row>
    <row r="876">
      <c r="C876" s="1"/>
      <c r="D876" s="1"/>
      <c r="E876" s="1"/>
      <c r="F876" s="1"/>
      <c r="G876" s="1"/>
      <c r="M876" s="1"/>
    </row>
    <row r="877">
      <c r="C877" s="1"/>
      <c r="D877" s="1"/>
      <c r="E877" s="1"/>
      <c r="F877" s="1"/>
      <c r="G877" s="1"/>
      <c r="M877" s="1"/>
    </row>
    <row r="878">
      <c r="C878" s="1"/>
      <c r="D878" s="1"/>
      <c r="E878" s="1"/>
      <c r="F878" s="1"/>
      <c r="G878" s="1"/>
      <c r="M878" s="1"/>
    </row>
    <row r="879">
      <c r="C879" s="1"/>
      <c r="D879" s="1"/>
      <c r="E879" s="1"/>
      <c r="F879" s="1"/>
      <c r="G879" s="1"/>
      <c r="M879" s="1"/>
    </row>
    <row r="880">
      <c r="C880" s="1"/>
      <c r="D880" s="1"/>
      <c r="E880" s="1"/>
      <c r="F880" s="1"/>
      <c r="G880" s="1"/>
      <c r="M880" s="1"/>
    </row>
    <row r="881">
      <c r="C881" s="1"/>
      <c r="D881" s="1"/>
      <c r="E881" s="1"/>
      <c r="F881" s="1"/>
      <c r="G881" s="1"/>
      <c r="M881" s="1"/>
    </row>
    <row r="882">
      <c r="C882" s="1"/>
      <c r="D882" s="1"/>
      <c r="E882" s="1"/>
      <c r="F882" s="1"/>
      <c r="G882" s="1"/>
      <c r="M882" s="1"/>
    </row>
    <row r="883">
      <c r="C883" s="1"/>
      <c r="D883" s="1"/>
      <c r="E883" s="1"/>
      <c r="F883" s="1"/>
      <c r="G883" s="1"/>
      <c r="M883" s="1"/>
    </row>
    <row r="884">
      <c r="C884" s="1"/>
      <c r="D884" s="1"/>
      <c r="E884" s="1"/>
      <c r="F884" s="1"/>
      <c r="G884" s="1"/>
      <c r="M884" s="1"/>
    </row>
    <row r="885">
      <c r="C885" s="1"/>
      <c r="D885" s="1"/>
      <c r="E885" s="1"/>
      <c r="F885" s="1"/>
      <c r="G885" s="1"/>
      <c r="M885" s="1"/>
    </row>
    <row r="886">
      <c r="C886" s="1"/>
      <c r="D886" s="1"/>
      <c r="E886" s="1"/>
      <c r="F886" s="1"/>
      <c r="G886" s="1"/>
      <c r="M886" s="1"/>
    </row>
    <row r="887">
      <c r="C887" s="1"/>
      <c r="D887" s="1"/>
      <c r="E887" s="1"/>
      <c r="F887" s="1"/>
      <c r="G887" s="1"/>
      <c r="M887" s="1"/>
    </row>
    <row r="888">
      <c r="C888" s="1"/>
      <c r="D888" s="1"/>
      <c r="E888" s="1"/>
      <c r="F888" s="1"/>
      <c r="G888" s="1"/>
      <c r="M888" s="1"/>
    </row>
    <row r="889">
      <c r="C889" s="1"/>
      <c r="D889" s="1"/>
      <c r="E889" s="1"/>
      <c r="F889" s="1"/>
      <c r="G889" s="1"/>
      <c r="M889" s="1"/>
    </row>
    <row r="890">
      <c r="C890" s="1"/>
      <c r="D890" s="1"/>
      <c r="E890" s="1"/>
      <c r="F890" s="1"/>
      <c r="G890" s="1"/>
      <c r="M890" s="1"/>
    </row>
    <row r="891">
      <c r="C891" s="1"/>
      <c r="D891" s="1"/>
      <c r="E891" s="1"/>
      <c r="F891" s="1"/>
      <c r="G891" s="1"/>
      <c r="M891" s="1"/>
    </row>
    <row r="892">
      <c r="C892" s="1"/>
      <c r="D892" s="1"/>
      <c r="E892" s="1"/>
      <c r="F892" s="1"/>
      <c r="G892" s="1"/>
      <c r="M892" s="1"/>
    </row>
    <row r="893">
      <c r="C893" s="1"/>
      <c r="D893" s="1"/>
      <c r="E893" s="1"/>
      <c r="F893" s="1"/>
      <c r="G893" s="1"/>
      <c r="M893" s="1"/>
    </row>
    <row r="894">
      <c r="C894" s="1"/>
      <c r="D894" s="1"/>
      <c r="E894" s="1"/>
      <c r="F894" s="1"/>
      <c r="G894" s="1"/>
      <c r="M894" s="1"/>
    </row>
    <row r="895">
      <c r="C895" s="1"/>
      <c r="D895" s="1"/>
      <c r="E895" s="1"/>
      <c r="F895" s="1"/>
      <c r="G895" s="1"/>
      <c r="M895" s="1"/>
    </row>
    <row r="896">
      <c r="C896" s="1"/>
      <c r="D896" s="1"/>
      <c r="E896" s="1"/>
      <c r="F896" s="1"/>
      <c r="G896" s="1"/>
      <c r="M896" s="1"/>
    </row>
    <row r="897">
      <c r="C897" s="1"/>
      <c r="D897" s="1"/>
      <c r="E897" s="1"/>
      <c r="F897" s="1"/>
      <c r="G897" s="1"/>
      <c r="M897" s="1"/>
    </row>
    <row r="898">
      <c r="C898" s="1"/>
      <c r="D898" s="1"/>
      <c r="E898" s="1"/>
      <c r="F898" s="1"/>
      <c r="G898" s="1"/>
      <c r="M898" s="1"/>
    </row>
    <row r="899">
      <c r="C899" s="1"/>
      <c r="D899" s="1"/>
      <c r="E899" s="1"/>
      <c r="F899" s="1"/>
      <c r="G899" s="1"/>
      <c r="M899" s="1"/>
    </row>
    <row r="900">
      <c r="C900" s="1"/>
      <c r="D900" s="1"/>
      <c r="E900" s="1"/>
      <c r="F900" s="1"/>
      <c r="G900" s="1"/>
      <c r="M900" s="1"/>
    </row>
    <row r="901">
      <c r="C901" s="1"/>
      <c r="D901" s="1"/>
      <c r="E901" s="1"/>
      <c r="F901" s="1"/>
      <c r="G901" s="1"/>
      <c r="M901" s="1"/>
    </row>
    <row r="902">
      <c r="C902" s="1"/>
      <c r="D902" s="1"/>
      <c r="E902" s="1"/>
      <c r="F902" s="1"/>
      <c r="G902" s="1"/>
      <c r="M902" s="1"/>
    </row>
    <row r="903">
      <c r="C903" s="1"/>
      <c r="D903" s="1"/>
      <c r="E903" s="1"/>
      <c r="F903" s="1"/>
      <c r="G903" s="1"/>
      <c r="M903" s="1"/>
    </row>
    <row r="904">
      <c r="C904" s="1"/>
      <c r="D904" s="1"/>
      <c r="E904" s="1"/>
      <c r="F904" s="1"/>
      <c r="G904" s="1"/>
      <c r="M904" s="1"/>
    </row>
    <row r="905">
      <c r="C905" s="1"/>
      <c r="D905" s="1"/>
      <c r="E905" s="1"/>
      <c r="F905" s="1"/>
      <c r="G905" s="1"/>
      <c r="M905" s="1"/>
    </row>
    <row r="906">
      <c r="C906" s="1"/>
      <c r="D906" s="1"/>
      <c r="E906" s="1"/>
      <c r="F906" s="1"/>
      <c r="G906" s="1"/>
      <c r="M906" s="1"/>
    </row>
    <row r="907">
      <c r="C907" s="1"/>
      <c r="D907" s="1"/>
      <c r="E907" s="1"/>
      <c r="F907" s="1"/>
      <c r="G907" s="1"/>
      <c r="M907" s="1"/>
    </row>
    <row r="908">
      <c r="C908" s="1"/>
      <c r="D908" s="1"/>
      <c r="E908" s="1"/>
      <c r="F908" s="1"/>
      <c r="G908" s="1"/>
      <c r="M908" s="1"/>
    </row>
    <row r="909">
      <c r="C909" s="1"/>
      <c r="D909" s="1"/>
      <c r="E909" s="1"/>
      <c r="F909" s="1"/>
      <c r="G909" s="1"/>
      <c r="M909" s="1"/>
    </row>
    <row r="910">
      <c r="C910" s="1"/>
      <c r="D910" s="1"/>
      <c r="E910" s="1"/>
      <c r="F910" s="1"/>
      <c r="G910" s="1"/>
      <c r="M910" s="1"/>
    </row>
    <row r="911">
      <c r="C911" s="1"/>
      <c r="D911" s="1"/>
      <c r="E911" s="1"/>
      <c r="F911" s="1"/>
      <c r="G911" s="1"/>
      <c r="M911" s="1"/>
    </row>
    <row r="912">
      <c r="C912" s="1"/>
      <c r="D912" s="1"/>
      <c r="E912" s="1"/>
      <c r="F912" s="1"/>
      <c r="G912" s="1"/>
      <c r="M912" s="1"/>
    </row>
    <row r="913">
      <c r="C913" s="1"/>
      <c r="D913" s="1"/>
      <c r="E913" s="1"/>
      <c r="F913" s="1"/>
      <c r="G913" s="1"/>
      <c r="M913" s="1"/>
    </row>
    <row r="914">
      <c r="C914" s="1"/>
      <c r="D914" s="1"/>
      <c r="E914" s="1"/>
      <c r="F914" s="1"/>
      <c r="G914" s="1"/>
      <c r="M914" s="1"/>
    </row>
    <row r="915">
      <c r="C915" s="1"/>
      <c r="D915" s="1"/>
      <c r="E915" s="1"/>
      <c r="F915" s="1"/>
      <c r="G915" s="1"/>
      <c r="M915" s="1"/>
    </row>
    <row r="916">
      <c r="C916" s="1"/>
      <c r="D916" s="1"/>
      <c r="E916" s="1"/>
      <c r="F916" s="1"/>
      <c r="G916" s="1"/>
      <c r="M916" s="1"/>
    </row>
    <row r="917">
      <c r="C917" s="1"/>
      <c r="D917" s="1"/>
      <c r="E917" s="1"/>
      <c r="F917" s="1"/>
      <c r="G917" s="1"/>
      <c r="M917" s="1"/>
    </row>
    <row r="918">
      <c r="C918" s="1"/>
      <c r="D918" s="1"/>
      <c r="E918" s="1"/>
      <c r="F918" s="1"/>
      <c r="G918" s="1"/>
      <c r="M918" s="1"/>
    </row>
    <row r="919">
      <c r="C919" s="1"/>
      <c r="D919" s="1"/>
      <c r="E919" s="1"/>
      <c r="F919" s="1"/>
      <c r="G919" s="1"/>
      <c r="M919" s="1"/>
    </row>
    <row r="920">
      <c r="C920" s="1"/>
      <c r="D920" s="1"/>
      <c r="E920" s="1"/>
      <c r="F920" s="1"/>
      <c r="G920" s="1"/>
      <c r="M920" s="1"/>
    </row>
    <row r="921">
      <c r="C921" s="1"/>
      <c r="D921" s="1"/>
      <c r="E921" s="1"/>
      <c r="F921" s="1"/>
      <c r="G921" s="1"/>
      <c r="M921" s="1"/>
    </row>
    <row r="922">
      <c r="C922" s="1"/>
      <c r="D922" s="1"/>
      <c r="E922" s="1"/>
      <c r="F922" s="1"/>
      <c r="G922" s="1"/>
      <c r="M922" s="1"/>
    </row>
    <row r="923">
      <c r="C923" s="1"/>
      <c r="D923" s="1"/>
      <c r="E923" s="1"/>
      <c r="F923" s="1"/>
      <c r="G923" s="1"/>
      <c r="M923" s="1"/>
    </row>
    <row r="924">
      <c r="C924" s="1"/>
      <c r="D924" s="1"/>
      <c r="E924" s="1"/>
      <c r="F924" s="1"/>
      <c r="G924" s="1"/>
      <c r="M924" s="1"/>
    </row>
    <row r="925">
      <c r="C925" s="1"/>
      <c r="D925" s="1"/>
      <c r="E925" s="1"/>
      <c r="F925" s="1"/>
      <c r="G925" s="1"/>
      <c r="M925" s="1"/>
    </row>
    <row r="926">
      <c r="C926" s="1"/>
      <c r="D926" s="1"/>
      <c r="E926" s="1"/>
      <c r="F926" s="1"/>
      <c r="G926" s="1"/>
      <c r="M926" s="1"/>
    </row>
    <row r="927">
      <c r="C927" s="1"/>
      <c r="D927" s="1"/>
      <c r="E927" s="1"/>
      <c r="F927" s="1"/>
      <c r="G927" s="1"/>
      <c r="M927" s="1"/>
    </row>
  </sheetData>
  <autoFilter ref="$B$2:$T$759">
    <sortState ref="B2:T759">
      <sortCondition ref="B2:B759"/>
    </sortState>
  </autoFilter>
  <hyperlinks>
    <hyperlink r:id="rId1" ref="F3"/>
    <hyperlink r:id="rId2" ref="G3"/>
    <hyperlink r:id="rId3" ref="K3"/>
    <hyperlink r:id="rId4" ref="F4"/>
    <hyperlink r:id="rId5" ref="F5"/>
    <hyperlink r:id="rId6" ref="G5"/>
    <hyperlink r:id="rId7" ref="K5"/>
    <hyperlink r:id="rId8" ref="F6"/>
    <hyperlink r:id="rId9" ref="G6"/>
    <hyperlink r:id="rId10" ref="K6"/>
    <hyperlink r:id="rId11" ref="F7"/>
    <hyperlink r:id="rId12" ref="F8"/>
    <hyperlink r:id="rId13" ref="G8"/>
    <hyperlink r:id="rId14" ref="K8"/>
    <hyperlink r:id="rId15" ref="G9"/>
    <hyperlink r:id="rId16" ref="K9"/>
    <hyperlink r:id="rId17" ref="F10"/>
    <hyperlink r:id="rId18" ref="G10"/>
    <hyperlink r:id="rId19" ref="K10"/>
    <hyperlink r:id="rId20" ref="F11"/>
    <hyperlink r:id="rId21" ref="F12"/>
    <hyperlink r:id="rId22" ref="F13"/>
    <hyperlink r:id="rId23" ref="F14"/>
    <hyperlink r:id="rId24" ref="F15"/>
    <hyperlink r:id="rId25" ref="F16"/>
    <hyperlink r:id="rId26" ref="F17"/>
    <hyperlink r:id="rId27" ref="F18"/>
    <hyperlink r:id="rId28" ref="F19"/>
    <hyperlink r:id="rId29" ref="F20"/>
    <hyperlink r:id="rId30" ref="F21"/>
    <hyperlink r:id="rId31" ref="F22"/>
    <hyperlink r:id="rId32" ref="F23"/>
    <hyperlink r:id="rId33" ref="F24"/>
    <hyperlink r:id="rId34" ref="F25"/>
    <hyperlink r:id="rId35" ref="F26"/>
    <hyperlink r:id="rId36" ref="F27"/>
    <hyperlink r:id="rId37" ref="F28"/>
    <hyperlink r:id="rId38" ref="F29"/>
    <hyperlink r:id="rId39" ref="F30"/>
    <hyperlink r:id="rId40" ref="F31"/>
    <hyperlink r:id="rId41" ref="F32"/>
    <hyperlink r:id="rId42" ref="F33"/>
    <hyperlink r:id="rId43" ref="F34"/>
    <hyperlink r:id="rId44" ref="F35"/>
    <hyperlink r:id="rId45" ref="F36"/>
    <hyperlink r:id="rId46" ref="F37"/>
    <hyperlink r:id="rId47" ref="F38"/>
    <hyperlink r:id="rId48" ref="F39"/>
    <hyperlink r:id="rId49" ref="F40"/>
    <hyperlink r:id="rId50" ref="F41"/>
    <hyperlink r:id="rId51" ref="F42"/>
    <hyperlink r:id="rId52" ref="F43"/>
    <hyperlink r:id="rId53" ref="F44"/>
    <hyperlink r:id="rId54" ref="F45"/>
    <hyperlink r:id="rId55" ref="F46"/>
    <hyperlink r:id="rId56" ref="G46"/>
    <hyperlink r:id="rId57" ref="K46"/>
    <hyperlink r:id="rId58" ref="F47"/>
    <hyperlink r:id="rId59" ref="G48"/>
    <hyperlink r:id="rId60" ref="K48"/>
    <hyperlink r:id="rId61" ref="F49"/>
    <hyperlink r:id="rId62" ref="G49"/>
    <hyperlink r:id="rId63" ref="K49"/>
    <hyperlink r:id="rId64" ref="F50"/>
    <hyperlink r:id="rId65" ref="F51"/>
    <hyperlink r:id="rId66" ref="G51"/>
    <hyperlink r:id="rId67" ref="K51"/>
    <hyperlink r:id="rId68" ref="G52"/>
    <hyperlink r:id="rId69" ref="K52"/>
    <hyperlink r:id="rId70" ref="G53"/>
    <hyperlink r:id="rId71" ref="K53"/>
    <hyperlink r:id="rId72" ref="G54"/>
    <hyperlink r:id="rId73" ref="K54"/>
    <hyperlink r:id="rId74" ref="F55"/>
    <hyperlink r:id="rId75" ref="F56"/>
    <hyperlink r:id="rId76" ref="F57"/>
    <hyperlink r:id="rId77" ref="G57"/>
    <hyperlink r:id="rId78" ref="K57"/>
    <hyperlink r:id="rId79" ref="F58"/>
    <hyperlink r:id="rId80" ref="F59"/>
    <hyperlink r:id="rId81" ref="F60"/>
    <hyperlink r:id="rId82" ref="G60"/>
    <hyperlink r:id="rId83" ref="K60"/>
    <hyperlink r:id="rId84" ref="F61"/>
    <hyperlink r:id="rId85" ref="G61"/>
    <hyperlink r:id="rId86" ref="K61"/>
    <hyperlink r:id="rId87" ref="F62"/>
    <hyperlink r:id="rId88" ref="G62"/>
    <hyperlink r:id="rId89" ref="K62"/>
    <hyperlink r:id="rId90" ref="F63"/>
    <hyperlink r:id="rId91" ref="G63"/>
    <hyperlink r:id="rId92" ref="K63"/>
    <hyperlink r:id="rId93" ref="F64"/>
    <hyperlink r:id="rId94" ref="F65"/>
    <hyperlink r:id="rId95" ref="F66"/>
    <hyperlink r:id="rId96" ref="F67"/>
    <hyperlink r:id="rId97" ref="F68"/>
    <hyperlink r:id="rId98" ref="G68"/>
    <hyperlink r:id="rId99" ref="K68"/>
    <hyperlink r:id="rId100" ref="F69"/>
    <hyperlink r:id="rId101" ref="F70"/>
    <hyperlink r:id="rId102" ref="G70"/>
    <hyperlink r:id="rId103" ref="K70"/>
    <hyperlink r:id="rId104" ref="G71"/>
    <hyperlink r:id="rId105" ref="K71"/>
    <hyperlink r:id="rId106" ref="F72"/>
    <hyperlink r:id="rId107" ref="G72"/>
    <hyperlink r:id="rId108" ref="K72"/>
    <hyperlink r:id="rId109" ref="G73"/>
    <hyperlink r:id="rId110" ref="K73"/>
    <hyperlink r:id="rId111" ref="F74"/>
    <hyperlink r:id="rId112" ref="G74"/>
    <hyperlink r:id="rId113" ref="K74"/>
    <hyperlink r:id="rId114" ref="F75"/>
    <hyperlink r:id="rId115" ref="G75"/>
    <hyperlink r:id="rId116" ref="K75"/>
    <hyperlink r:id="rId117" ref="F76"/>
    <hyperlink r:id="rId118" ref="G76"/>
    <hyperlink r:id="rId119" ref="K76"/>
    <hyperlink r:id="rId120" ref="F77"/>
    <hyperlink r:id="rId121" ref="G77"/>
    <hyperlink r:id="rId122" ref="K77"/>
    <hyperlink r:id="rId123" ref="G78"/>
    <hyperlink r:id="rId124" ref="K78"/>
    <hyperlink r:id="rId125" ref="F79"/>
    <hyperlink r:id="rId126" ref="F80"/>
    <hyperlink r:id="rId127" ref="F81"/>
    <hyperlink r:id="rId128" ref="F82"/>
    <hyperlink r:id="rId129" ref="F83"/>
    <hyperlink r:id="rId130" ref="F84"/>
    <hyperlink r:id="rId131" ref="F85"/>
    <hyperlink r:id="rId132" ref="F86"/>
    <hyperlink r:id="rId133" ref="F87"/>
    <hyperlink r:id="rId134" ref="G87"/>
    <hyperlink r:id="rId135" ref="K87"/>
    <hyperlink r:id="rId136" ref="G88"/>
    <hyperlink r:id="rId137" ref="K88"/>
    <hyperlink r:id="rId138" ref="F89"/>
    <hyperlink r:id="rId139" ref="F90"/>
    <hyperlink r:id="rId140" ref="F91"/>
    <hyperlink r:id="rId141" ref="F92"/>
    <hyperlink r:id="rId142" ref="F93"/>
    <hyperlink r:id="rId143" ref="F94"/>
    <hyperlink r:id="rId144" ref="F95"/>
    <hyperlink r:id="rId145" ref="F96"/>
    <hyperlink r:id="rId146" ref="F97"/>
    <hyperlink r:id="rId147" ref="F98"/>
    <hyperlink r:id="rId148" ref="F99"/>
    <hyperlink r:id="rId149" ref="F100"/>
    <hyperlink r:id="rId150" ref="F101"/>
    <hyperlink r:id="rId151" ref="F102"/>
    <hyperlink r:id="rId152" ref="F103"/>
    <hyperlink r:id="rId153" ref="F104"/>
    <hyperlink r:id="rId154" ref="F105"/>
    <hyperlink r:id="rId155" ref="F106"/>
    <hyperlink r:id="rId156" ref="F107"/>
    <hyperlink r:id="rId157" ref="F108"/>
    <hyperlink r:id="rId158" ref="F109"/>
    <hyperlink r:id="rId159" ref="G110"/>
    <hyperlink r:id="rId160" ref="K110"/>
    <hyperlink r:id="rId161" ref="F111"/>
    <hyperlink r:id="rId162" ref="G111"/>
    <hyperlink r:id="rId163" ref="K111"/>
    <hyperlink r:id="rId164" ref="F112"/>
    <hyperlink r:id="rId165" ref="G112"/>
    <hyperlink r:id="rId166" ref="K112"/>
    <hyperlink r:id="rId167" ref="F113"/>
    <hyperlink r:id="rId168" ref="F114"/>
    <hyperlink r:id="rId169" ref="F115"/>
    <hyperlink r:id="rId170" ref="F116"/>
    <hyperlink r:id="rId171" ref="F117"/>
    <hyperlink r:id="rId172" ref="F118"/>
    <hyperlink r:id="rId173" ref="F119"/>
    <hyperlink r:id="rId174" ref="F120"/>
    <hyperlink r:id="rId175" ref="F121"/>
    <hyperlink r:id="rId176" ref="F122"/>
    <hyperlink r:id="rId177" ref="F123"/>
    <hyperlink r:id="rId178" ref="G123"/>
    <hyperlink r:id="rId179" ref="K123"/>
    <hyperlink r:id="rId180" ref="F124"/>
    <hyperlink r:id="rId181" ref="F125"/>
    <hyperlink r:id="rId182" ref="G125"/>
    <hyperlink r:id="rId183" ref="K125"/>
    <hyperlink r:id="rId184" ref="F126"/>
    <hyperlink r:id="rId185" ref="G126"/>
    <hyperlink r:id="rId186" ref="K126"/>
    <hyperlink r:id="rId187" ref="F127"/>
    <hyperlink r:id="rId188" ref="G128"/>
    <hyperlink r:id="rId189" ref="K128"/>
    <hyperlink r:id="rId190" ref="F129"/>
    <hyperlink r:id="rId191" ref="G129"/>
    <hyperlink r:id="rId192" ref="K129"/>
    <hyperlink r:id="rId193" ref="F130"/>
    <hyperlink r:id="rId194" ref="F131"/>
    <hyperlink r:id="rId195" ref="G132"/>
    <hyperlink r:id="rId196" ref="K132"/>
    <hyperlink r:id="rId197" ref="F133"/>
    <hyperlink r:id="rId198" ref="G133"/>
    <hyperlink r:id="rId199" ref="K133"/>
    <hyperlink r:id="rId200" ref="F134"/>
    <hyperlink r:id="rId201" ref="G134"/>
    <hyperlink r:id="rId202" ref="K134"/>
    <hyperlink r:id="rId203" ref="F135"/>
    <hyperlink r:id="rId204" ref="G135"/>
    <hyperlink r:id="rId205" ref="K135"/>
    <hyperlink r:id="rId206" ref="F136"/>
    <hyperlink r:id="rId207" ref="F137"/>
    <hyperlink r:id="rId208" ref="F138"/>
    <hyperlink r:id="rId209" ref="F139"/>
    <hyperlink r:id="rId210" ref="F140"/>
    <hyperlink r:id="rId211" ref="F141"/>
    <hyperlink r:id="rId212" ref="F142"/>
    <hyperlink r:id="rId213" ref="G143"/>
    <hyperlink r:id="rId214" ref="K143"/>
    <hyperlink r:id="rId215" ref="F144"/>
    <hyperlink r:id="rId216" ref="F145"/>
    <hyperlink r:id="rId217" ref="G145"/>
    <hyperlink r:id="rId218" ref="K145"/>
    <hyperlink r:id="rId219" ref="F146"/>
    <hyperlink r:id="rId220" ref="G147"/>
    <hyperlink r:id="rId221" ref="K147"/>
    <hyperlink r:id="rId222" ref="F148"/>
    <hyperlink r:id="rId223" ref="G148"/>
    <hyperlink r:id="rId224" ref="K148"/>
    <hyperlink r:id="rId225" ref="G149"/>
    <hyperlink r:id="rId226" ref="K149"/>
    <hyperlink r:id="rId227" ref="G150"/>
    <hyperlink r:id="rId228" ref="K150"/>
    <hyperlink r:id="rId229" ref="F151"/>
    <hyperlink r:id="rId230" ref="G151"/>
    <hyperlink r:id="rId231" ref="K151"/>
    <hyperlink r:id="rId232" ref="F152"/>
    <hyperlink r:id="rId233" ref="G152"/>
    <hyperlink r:id="rId234" ref="K152"/>
    <hyperlink r:id="rId235" ref="G153"/>
    <hyperlink r:id="rId236" ref="K153"/>
    <hyperlink r:id="rId237" ref="F154"/>
    <hyperlink r:id="rId238" ref="G154"/>
    <hyperlink r:id="rId239" ref="K154"/>
    <hyperlink r:id="rId240" ref="F155"/>
    <hyperlink r:id="rId241" ref="G155"/>
    <hyperlink r:id="rId242" ref="K155"/>
    <hyperlink r:id="rId243" ref="G156"/>
    <hyperlink r:id="rId244" ref="K156"/>
    <hyperlink r:id="rId245" ref="F157"/>
    <hyperlink r:id="rId246" ref="F158"/>
    <hyperlink r:id="rId247" ref="F159"/>
    <hyperlink r:id="rId248" ref="F160"/>
    <hyperlink r:id="rId249" ref="G160"/>
    <hyperlink r:id="rId250" ref="K160"/>
    <hyperlink r:id="rId251" ref="F161"/>
    <hyperlink r:id="rId252" ref="F162"/>
    <hyperlink r:id="rId253" ref="F163"/>
    <hyperlink r:id="rId254" ref="F164"/>
    <hyperlink r:id="rId255" ref="K164"/>
    <hyperlink r:id="rId256" ref="G165"/>
    <hyperlink r:id="rId257" ref="K165"/>
    <hyperlink r:id="rId258" ref="F166"/>
    <hyperlink r:id="rId259" ref="G166"/>
    <hyperlink r:id="rId260" ref="K166"/>
    <hyperlink r:id="rId261" ref="F167"/>
    <hyperlink r:id="rId262" ref="G167"/>
    <hyperlink r:id="rId263" ref="K167"/>
    <hyperlink r:id="rId264" ref="F168"/>
    <hyperlink r:id="rId265" ref="G168"/>
    <hyperlink r:id="rId266" ref="K168"/>
    <hyperlink r:id="rId267" ref="F169"/>
    <hyperlink r:id="rId268" ref="G169"/>
    <hyperlink r:id="rId269" ref="K169"/>
    <hyperlink r:id="rId270" ref="F170"/>
    <hyperlink r:id="rId271" ref="G170"/>
    <hyperlink r:id="rId272" ref="K170"/>
    <hyperlink r:id="rId273" ref="F171"/>
    <hyperlink r:id="rId274" ref="G171"/>
    <hyperlink r:id="rId275" ref="K171"/>
    <hyperlink r:id="rId276" ref="F172"/>
    <hyperlink r:id="rId277" ref="G172"/>
    <hyperlink r:id="rId278" ref="K172"/>
    <hyperlink r:id="rId279" ref="F173"/>
    <hyperlink r:id="rId280" ref="G173"/>
    <hyperlink r:id="rId281" ref="K173"/>
    <hyperlink r:id="rId282" ref="F174"/>
    <hyperlink r:id="rId283" ref="G175"/>
    <hyperlink r:id="rId284" ref="K175"/>
    <hyperlink r:id="rId285" ref="G176"/>
    <hyperlink r:id="rId286" ref="K176"/>
    <hyperlink r:id="rId287" ref="F177"/>
    <hyperlink r:id="rId288" ref="F178"/>
    <hyperlink r:id="rId289" ref="F179"/>
    <hyperlink r:id="rId290" ref="F180"/>
    <hyperlink r:id="rId291" ref="F181"/>
    <hyperlink r:id="rId292" ref="F182"/>
    <hyperlink r:id="rId293" ref="F183"/>
    <hyperlink r:id="rId294" ref="F184"/>
    <hyperlink r:id="rId295" ref="F185"/>
    <hyperlink r:id="rId296" ref="F186"/>
    <hyperlink r:id="rId297" ref="F187"/>
    <hyperlink r:id="rId298" ref="F188"/>
    <hyperlink r:id="rId299" ref="F189"/>
    <hyperlink r:id="rId300" ref="G189"/>
    <hyperlink r:id="rId301" ref="K189"/>
    <hyperlink r:id="rId302" ref="G190"/>
    <hyperlink r:id="rId303" ref="K190"/>
    <hyperlink r:id="rId304" ref="F191"/>
    <hyperlink r:id="rId305" ref="F192"/>
    <hyperlink r:id="rId306" ref="G192"/>
    <hyperlink r:id="rId307" ref="K192"/>
    <hyperlink r:id="rId308" ref="F193"/>
    <hyperlink r:id="rId309" ref="G193"/>
    <hyperlink r:id="rId310" ref="K193"/>
    <hyperlink r:id="rId311" ref="F194"/>
    <hyperlink r:id="rId312" ref="G194"/>
    <hyperlink r:id="rId313" ref="K194"/>
    <hyperlink r:id="rId314" ref="F195"/>
    <hyperlink r:id="rId315" ref="G195"/>
    <hyperlink r:id="rId316" ref="K195"/>
    <hyperlink r:id="rId317" ref="G196"/>
    <hyperlink r:id="rId318" ref="K196"/>
    <hyperlink r:id="rId319" ref="F197"/>
    <hyperlink r:id="rId320" ref="G198"/>
    <hyperlink r:id="rId321" ref="K198"/>
    <hyperlink r:id="rId322" ref="F199"/>
    <hyperlink r:id="rId323" ref="F200"/>
    <hyperlink r:id="rId324" ref="G200"/>
    <hyperlink r:id="rId325" ref="K200"/>
    <hyperlink r:id="rId326" ref="F201"/>
    <hyperlink r:id="rId327" ref="F202"/>
    <hyperlink r:id="rId328" ref="F203"/>
    <hyperlink r:id="rId329" ref="G203"/>
    <hyperlink r:id="rId330" ref="K203"/>
    <hyperlink r:id="rId331" ref="F204"/>
    <hyperlink r:id="rId332" ref="G204"/>
    <hyperlink r:id="rId333" ref="K204"/>
    <hyperlink r:id="rId334" ref="G205"/>
    <hyperlink r:id="rId335" ref="K205"/>
    <hyperlink r:id="rId336" ref="F206"/>
    <hyperlink r:id="rId337" ref="G206"/>
    <hyperlink r:id="rId338" ref="K206"/>
    <hyperlink r:id="rId339" ref="F207"/>
    <hyperlink r:id="rId340" ref="G207"/>
    <hyperlink r:id="rId341" ref="K207"/>
    <hyperlink r:id="rId342" ref="G208"/>
    <hyperlink r:id="rId343" ref="K208"/>
    <hyperlink r:id="rId344" ref="F209"/>
    <hyperlink r:id="rId345" ref="G209"/>
    <hyperlink r:id="rId346" ref="K209"/>
    <hyperlink r:id="rId347" ref="F210"/>
    <hyperlink r:id="rId348" ref="F211"/>
    <hyperlink r:id="rId349" ref="F212"/>
    <hyperlink r:id="rId350" ref="G212"/>
    <hyperlink r:id="rId351" ref="K212"/>
    <hyperlink r:id="rId352" ref="G213"/>
    <hyperlink r:id="rId353" ref="K213"/>
    <hyperlink r:id="rId354" ref="F214"/>
    <hyperlink r:id="rId355" ref="G214"/>
    <hyperlink r:id="rId356" ref="K214"/>
    <hyperlink r:id="rId357" ref="F215"/>
    <hyperlink r:id="rId358" ref="F216"/>
    <hyperlink r:id="rId359" ref="G216"/>
    <hyperlink r:id="rId360" ref="K216"/>
    <hyperlink r:id="rId361" ref="G217"/>
    <hyperlink r:id="rId362" ref="K217"/>
    <hyperlink r:id="rId363" ref="F218"/>
    <hyperlink r:id="rId364" ref="F219"/>
    <hyperlink r:id="rId365" ref="G219"/>
    <hyperlink r:id="rId366" ref="K219"/>
    <hyperlink r:id="rId367" ref="F220"/>
    <hyperlink r:id="rId368" ref="F221"/>
    <hyperlink r:id="rId369" ref="G222"/>
    <hyperlink r:id="rId370" ref="K222"/>
    <hyperlink r:id="rId371" ref="F223"/>
    <hyperlink r:id="rId372" ref="G223"/>
    <hyperlink r:id="rId373" ref="K223"/>
    <hyperlink r:id="rId374" ref="F224"/>
    <hyperlink r:id="rId375" ref="G224"/>
    <hyperlink r:id="rId376" ref="K224"/>
    <hyperlink r:id="rId377" ref="G225"/>
    <hyperlink r:id="rId378" ref="K225"/>
    <hyperlink r:id="rId379" ref="F226"/>
    <hyperlink r:id="rId380" ref="F227"/>
    <hyperlink r:id="rId381" ref="F228"/>
    <hyperlink r:id="rId382" ref="F229"/>
    <hyperlink r:id="rId383" ref="F230"/>
    <hyperlink r:id="rId384" ref="F231"/>
    <hyperlink r:id="rId385" ref="F232"/>
    <hyperlink r:id="rId386" ref="G232"/>
    <hyperlink r:id="rId387" ref="K232"/>
    <hyperlink r:id="rId388" ref="F233"/>
    <hyperlink r:id="rId389" ref="G233"/>
    <hyperlink r:id="rId390" ref="K233"/>
    <hyperlink r:id="rId391" ref="F234"/>
    <hyperlink r:id="rId392" ref="F235"/>
    <hyperlink r:id="rId393" ref="F236"/>
    <hyperlink r:id="rId394" ref="G237"/>
    <hyperlink r:id="rId395" ref="K237"/>
    <hyperlink r:id="rId396" ref="F238"/>
    <hyperlink r:id="rId397" ref="K238"/>
    <hyperlink r:id="rId398" ref="F239"/>
    <hyperlink r:id="rId399" ref="F240"/>
    <hyperlink r:id="rId400" ref="G241"/>
    <hyperlink r:id="rId401" ref="K241"/>
    <hyperlink r:id="rId402" ref="F242"/>
    <hyperlink r:id="rId403" ref="G242"/>
    <hyperlink r:id="rId404" ref="K242"/>
    <hyperlink r:id="rId405" ref="F243"/>
    <hyperlink r:id="rId406" ref="F244"/>
    <hyperlink r:id="rId407" ref="F245"/>
    <hyperlink r:id="rId408" ref="F246"/>
    <hyperlink r:id="rId409" ref="F247"/>
    <hyperlink r:id="rId410" ref="G248"/>
    <hyperlink r:id="rId411" ref="K248"/>
    <hyperlink r:id="rId412" ref="G249"/>
    <hyperlink r:id="rId413" ref="K249"/>
    <hyperlink r:id="rId414" ref="G250"/>
    <hyperlink r:id="rId415" ref="K250"/>
    <hyperlink r:id="rId416" ref="F251"/>
    <hyperlink r:id="rId417" ref="G251"/>
    <hyperlink r:id="rId418" ref="K251"/>
    <hyperlink r:id="rId419" ref="F252"/>
    <hyperlink r:id="rId420" ref="G252"/>
    <hyperlink r:id="rId421" ref="K252"/>
    <hyperlink r:id="rId422" ref="G253"/>
    <hyperlink r:id="rId423" ref="K253"/>
    <hyperlink r:id="rId424" ref="F254"/>
    <hyperlink r:id="rId425" ref="F255"/>
    <hyperlink r:id="rId426" ref="G255"/>
    <hyperlink r:id="rId427" ref="K255"/>
    <hyperlink r:id="rId428" ref="F256"/>
    <hyperlink r:id="rId429" ref="G256"/>
    <hyperlink r:id="rId430" ref="K256"/>
    <hyperlink r:id="rId431" ref="F257"/>
    <hyperlink r:id="rId432" ref="G257"/>
    <hyperlink r:id="rId433" ref="K257"/>
    <hyperlink r:id="rId434" ref="G258"/>
    <hyperlink r:id="rId435" ref="K258"/>
    <hyperlink r:id="rId436" ref="F259"/>
    <hyperlink r:id="rId437" ref="F260"/>
    <hyperlink r:id="rId438" ref="G260"/>
    <hyperlink r:id="rId439" ref="K260"/>
    <hyperlink r:id="rId440" ref="F261"/>
    <hyperlink r:id="rId441" ref="F262"/>
    <hyperlink r:id="rId442" ref="F263"/>
    <hyperlink r:id="rId443" ref="F264"/>
    <hyperlink r:id="rId444" ref="F265"/>
    <hyperlink r:id="rId445" ref="F266"/>
    <hyperlink r:id="rId446" ref="F267"/>
    <hyperlink r:id="rId447" ref="F268"/>
    <hyperlink r:id="rId448" ref="F269"/>
    <hyperlink r:id="rId449" ref="F270"/>
    <hyperlink r:id="rId450" ref="F271"/>
    <hyperlink r:id="rId451" ref="F272"/>
    <hyperlink r:id="rId452" ref="F273"/>
    <hyperlink r:id="rId453" ref="G273"/>
    <hyperlink r:id="rId454" ref="K273"/>
    <hyperlink r:id="rId455" ref="F274"/>
    <hyperlink r:id="rId456" ref="F275"/>
    <hyperlink r:id="rId457" ref="F276"/>
    <hyperlink r:id="rId458" ref="F277"/>
    <hyperlink r:id="rId459" ref="F278"/>
    <hyperlink r:id="rId460" ref="F279"/>
    <hyperlink r:id="rId461" ref="F280"/>
    <hyperlink r:id="rId462" ref="F281"/>
    <hyperlink r:id="rId463" ref="F282"/>
    <hyperlink r:id="rId464" ref="F283"/>
    <hyperlink r:id="rId465" ref="F284"/>
    <hyperlink r:id="rId466" ref="F285"/>
    <hyperlink r:id="rId467" ref="F286"/>
    <hyperlink r:id="rId468" ref="F287"/>
    <hyperlink r:id="rId469" ref="G288"/>
    <hyperlink r:id="rId470" ref="K288"/>
    <hyperlink r:id="rId471" ref="G289"/>
    <hyperlink r:id="rId472" ref="K289"/>
    <hyperlink r:id="rId473" ref="G290"/>
    <hyperlink r:id="rId474" ref="K290"/>
    <hyperlink r:id="rId475" ref="F291"/>
    <hyperlink r:id="rId476" ref="G291"/>
    <hyperlink r:id="rId477" ref="K291"/>
    <hyperlink r:id="rId478" ref="F292"/>
    <hyperlink r:id="rId479" ref="F293"/>
    <hyperlink r:id="rId480" ref="G293"/>
    <hyperlink r:id="rId481" ref="K293"/>
    <hyperlink r:id="rId482" ref="G294"/>
    <hyperlink r:id="rId483" ref="K294"/>
    <hyperlink r:id="rId484" ref="G295"/>
    <hyperlink r:id="rId485" ref="K295"/>
    <hyperlink r:id="rId486" ref="F296"/>
    <hyperlink r:id="rId487" ref="G296"/>
    <hyperlink r:id="rId488" ref="K296"/>
    <hyperlink r:id="rId489" ref="F297"/>
    <hyperlink r:id="rId490" ref="F298"/>
    <hyperlink r:id="rId491" ref="F299"/>
    <hyperlink r:id="rId492" ref="G299"/>
    <hyperlink r:id="rId493" ref="K299"/>
    <hyperlink r:id="rId494" ref="F300"/>
    <hyperlink r:id="rId495" ref="F301"/>
    <hyperlink r:id="rId496" ref="G301"/>
    <hyperlink r:id="rId497" ref="K301"/>
    <hyperlink r:id="rId498" ref="F302"/>
    <hyperlink r:id="rId499" ref="G303"/>
    <hyperlink r:id="rId500" ref="K303"/>
    <hyperlink r:id="rId501" ref="G304"/>
    <hyperlink r:id="rId502" ref="K304"/>
    <hyperlink r:id="rId503" ref="G305"/>
    <hyperlink r:id="rId504" ref="K305"/>
    <hyperlink r:id="rId505" ref="F306"/>
    <hyperlink r:id="rId506" ref="F307"/>
    <hyperlink r:id="rId507" ref="G307"/>
    <hyperlink r:id="rId508" ref="K307"/>
    <hyperlink r:id="rId509" ref="G308"/>
    <hyperlink r:id="rId510" ref="K308"/>
    <hyperlink r:id="rId511" ref="F309"/>
    <hyperlink r:id="rId512" ref="F310"/>
    <hyperlink r:id="rId513" ref="G310"/>
    <hyperlink r:id="rId514" ref="K310"/>
    <hyperlink r:id="rId515" ref="F311"/>
    <hyperlink r:id="rId516" ref="F312"/>
    <hyperlink r:id="rId517" ref="F313"/>
    <hyperlink r:id="rId518" ref="G313"/>
    <hyperlink r:id="rId519" ref="K313"/>
    <hyperlink r:id="rId520" ref="G314"/>
    <hyperlink r:id="rId521" ref="K314"/>
    <hyperlink r:id="rId522" ref="F315"/>
    <hyperlink r:id="rId523" ref="G315"/>
    <hyperlink r:id="rId524" ref="K315"/>
    <hyperlink r:id="rId525" ref="G316"/>
    <hyperlink r:id="rId526" ref="K316"/>
    <hyperlink r:id="rId527" ref="G317"/>
    <hyperlink r:id="rId528" ref="K317"/>
    <hyperlink r:id="rId529" ref="F318"/>
    <hyperlink r:id="rId530" ref="G319"/>
    <hyperlink r:id="rId531" ref="K319"/>
    <hyperlink r:id="rId532" ref="F320"/>
    <hyperlink r:id="rId533" ref="F321"/>
    <hyperlink r:id="rId534" ref="F322"/>
    <hyperlink r:id="rId535" ref="G322"/>
    <hyperlink r:id="rId536" ref="K322"/>
    <hyperlink r:id="rId537" ref="F323"/>
    <hyperlink r:id="rId538" ref="G323"/>
    <hyperlink r:id="rId539" ref="K323"/>
    <hyperlink r:id="rId540" ref="F324"/>
    <hyperlink r:id="rId541" ref="F325"/>
    <hyperlink r:id="rId542" ref="F326"/>
    <hyperlink r:id="rId543" ref="G327"/>
    <hyperlink r:id="rId544" ref="K327"/>
    <hyperlink r:id="rId545" ref="F328"/>
    <hyperlink r:id="rId546" ref="G329"/>
    <hyperlink r:id="rId547" ref="K329"/>
    <hyperlink r:id="rId548" ref="G330"/>
    <hyperlink r:id="rId549" ref="K330"/>
    <hyperlink r:id="rId550" ref="F331"/>
    <hyperlink r:id="rId551" ref="G331"/>
    <hyperlink r:id="rId552" ref="K331"/>
    <hyperlink r:id="rId553" ref="F332"/>
    <hyperlink r:id="rId554" ref="G332"/>
    <hyperlink r:id="rId555" ref="K332"/>
    <hyperlink r:id="rId556" ref="F333"/>
    <hyperlink r:id="rId557" ref="G333"/>
    <hyperlink r:id="rId558" ref="K333"/>
    <hyperlink r:id="rId559" ref="F334"/>
    <hyperlink r:id="rId560" ref="G334"/>
    <hyperlink r:id="rId561" ref="K334"/>
    <hyperlink r:id="rId562" ref="F335"/>
    <hyperlink r:id="rId563" ref="F336"/>
    <hyperlink r:id="rId564" ref="F337"/>
    <hyperlink r:id="rId565" ref="G338"/>
    <hyperlink r:id="rId566" ref="K338"/>
    <hyperlink r:id="rId567" ref="F339"/>
    <hyperlink r:id="rId568" ref="G339"/>
    <hyperlink r:id="rId569" ref="K339"/>
    <hyperlink r:id="rId570" ref="F340"/>
    <hyperlink r:id="rId571" ref="E341"/>
    <hyperlink r:id="rId572" ref="G341"/>
    <hyperlink r:id="rId573" ref="K341"/>
    <hyperlink r:id="rId574" ref="E342"/>
    <hyperlink r:id="rId575" ref="G342"/>
    <hyperlink r:id="rId576" ref="K342"/>
    <hyperlink r:id="rId577" ref="G343"/>
    <hyperlink r:id="rId578" ref="K343"/>
    <hyperlink r:id="rId579" ref="F344"/>
    <hyperlink r:id="rId580" ref="G344"/>
    <hyperlink r:id="rId581" ref="K344"/>
    <hyperlink r:id="rId582" ref="G345"/>
    <hyperlink r:id="rId583" ref="K345"/>
    <hyperlink r:id="rId584" ref="F346"/>
    <hyperlink r:id="rId585" ref="G346"/>
    <hyperlink r:id="rId586" ref="K346"/>
    <hyperlink r:id="rId587" ref="F347"/>
    <hyperlink r:id="rId588" ref="F348"/>
    <hyperlink r:id="rId589" ref="F349"/>
    <hyperlink r:id="rId590" ref="F350"/>
    <hyperlink r:id="rId591" ref="F351"/>
    <hyperlink r:id="rId592" ref="F352"/>
    <hyperlink r:id="rId593" ref="F353"/>
    <hyperlink r:id="rId594" ref="F354"/>
    <hyperlink r:id="rId595" ref="F355"/>
    <hyperlink r:id="rId596" ref="F356"/>
    <hyperlink r:id="rId597" ref="F357"/>
    <hyperlink r:id="rId598" ref="G357"/>
    <hyperlink r:id="rId599" ref="K357"/>
    <hyperlink r:id="rId600" ref="F358"/>
    <hyperlink r:id="rId601" ref="F359"/>
    <hyperlink r:id="rId602" ref="G359"/>
    <hyperlink r:id="rId603" ref="K359"/>
    <hyperlink r:id="rId604" ref="G360"/>
    <hyperlink r:id="rId605" ref="K360"/>
    <hyperlink r:id="rId606" ref="E361"/>
    <hyperlink r:id="rId607" ref="G361"/>
    <hyperlink r:id="rId608" ref="K361"/>
    <hyperlink r:id="rId609" ref="F362"/>
    <hyperlink r:id="rId610" ref="G362"/>
    <hyperlink r:id="rId611" ref="K362"/>
    <hyperlink r:id="rId612" ref="F363"/>
    <hyperlink r:id="rId613" ref="G363"/>
    <hyperlink r:id="rId614" ref="K363"/>
    <hyperlink r:id="rId615" ref="F364"/>
    <hyperlink r:id="rId616" ref="G365"/>
    <hyperlink r:id="rId617" ref="K365"/>
    <hyperlink r:id="rId618" ref="F366"/>
    <hyperlink r:id="rId619" ref="G366"/>
    <hyperlink r:id="rId620" ref="K366"/>
    <hyperlink r:id="rId621" ref="G367"/>
    <hyperlink r:id="rId622" ref="K367"/>
    <hyperlink r:id="rId623" ref="F368"/>
    <hyperlink r:id="rId624" ref="G368"/>
    <hyperlink r:id="rId625" ref="K368"/>
    <hyperlink r:id="rId626" ref="F369"/>
    <hyperlink r:id="rId627" ref="G369"/>
    <hyperlink r:id="rId628" ref="K369"/>
    <hyperlink r:id="rId629" ref="G370"/>
    <hyperlink r:id="rId630" ref="K370"/>
    <hyperlink r:id="rId631" ref="F371"/>
    <hyperlink r:id="rId632" ref="G371"/>
    <hyperlink r:id="rId633" ref="K371"/>
    <hyperlink r:id="rId634" ref="F372"/>
    <hyperlink r:id="rId635" ref="F373"/>
    <hyperlink r:id="rId636" ref="F374"/>
    <hyperlink r:id="rId637" ref="G374"/>
    <hyperlink r:id="rId638" ref="K374"/>
    <hyperlink r:id="rId639" ref="F375"/>
    <hyperlink r:id="rId640" ref="G375"/>
    <hyperlink r:id="rId641" ref="K375"/>
    <hyperlink r:id="rId642" ref="F376"/>
    <hyperlink r:id="rId643" ref="F377"/>
    <hyperlink r:id="rId644" ref="F378"/>
    <hyperlink r:id="rId645" ref="F379"/>
    <hyperlink r:id="rId646" ref="F380"/>
    <hyperlink r:id="rId647" ref="F381"/>
    <hyperlink r:id="rId648" ref="G382"/>
    <hyperlink r:id="rId649" ref="K382"/>
    <hyperlink r:id="rId650" ref="E383"/>
    <hyperlink r:id="rId651" ref="G383"/>
    <hyperlink r:id="rId652" ref="K383"/>
    <hyperlink r:id="rId653" ref="G384"/>
    <hyperlink r:id="rId654" ref="K384"/>
    <hyperlink r:id="rId655" ref="G385"/>
    <hyperlink r:id="rId656" ref="K385"/>
    <hyperlink r:id="rId657" ref="F386"/>
    <hyperlink r:id="rId658" ref="G386"/>
    <hyperlink r:id="rId659" ref="K386"/>
    <hyperlink r:id="rId660" ref="F387"/>
    <hyperlink r:id="rId661" ref="G387"/>
    <hyperlink r:id="rId662" ref="K387"/>
    <hyperlink r:id="rId663" ref="G388"/>
    <hyperlink r:id="rId664" ref="K388"/>
    <hyperlink r:id="rId665" ref="F389"/>
    <hyperlink r:id="rId666" ref="G389"/>
    <hyperlink r:id="rId667" ref="K389"/>
    <hyperlink r:id="rId668" ref="F390"/>
    <hyperlink r:id="rId669" ref="G390"/>
    <hyperlink r:id="rId670" ref="K390"/>
    <hyperlink r:id="rId671" ref="G391"/>
    <hyperlink r:id="rId672" ref="K391"/>
    <hyperlink r:id="rId673" ref="F392"/>
    <hyperlink r:id="rId674" ref="F393"/>
    <hyperlink r:id="rId675" ref="F394"/>
    <hyperlink r:id="rId676" ref="F395"/>
    <hyperlink r:id="rId677" ref="F396"/>
    <hyperlink r:id="rId678" ref="F397"/>
    <hyperlink r:id="rId679" ref="F398"/>
    <hyperlink r:id="rId680" ref="F399"/>
    <hyperlink r:id="rId681" ref="F400"/>
    <hyperlink r:id="rId682" ref="F401"/>
    <hyperlink r:id="rId683" ref="F402"/>
    <hyperlink r:id="rId684" ref="F403"/>
    <hyperlink r:id="rId685" ref="F404"/>
    <hyperlink r:id="rId686" ref="F405"/>
    <hyperlink r:id="rId687" ref="F406"/>
    <hyperlink r:id="rId688" ref="F407"/>
    <hyperlink r:id="rId689" ref="F408"/>
    <hyperlink r:id="rId690" ref="F409"/>
    <hyperlink r:id="rId691" ref="F410"/>
    <hyperlink r:id="rId692" ref="F411"/>
    <hyperlink r:id="rId693" ref="F412"/>
    <hyperlink r:id="rId694" ref="F413"/>
    <hyperlink r:id="rId695" ref="G413"/>
    <hyperlink r:id="rId696" ref="K413"/>
    <hyperlink r:id="rId697" ref="F414"/>
    <hyperlink r:id="rId698" ref="G414"/>
    <hyperlink r:id="rId699" ref="K414"/>
    <hyperlink r:id="rId700" ref="F415"/>
    <hyperlink r:id="rId701" ref="G415"/>
    <hyperlink r:id="rId702" ref="K415"/>
    <hyperlink r:id="rId703" ref="F416"/>
    <hyperlink r:id="rId704" ref="F417"/>
    <hyperlink r:id="rId705" ref="G417"/>
    <hyperlink r:id="rId706" ref="K417"/>
    <hyperlink r:id="rId707" ref="F418"/>
    <hyperlink r:id="rId708" ref="G418"/>
    <hyperlink r:id="rId709" ref="K418"/>
    <hyperlink r:id="rId710" ref="G419"/>
    <hyperlink r:id="rId711" ref="K419"/>
    <hyperlink r:id="rId712" ref="F420"/>
    <hyperlink r:id="rId713" ref="G420"/>
    <hyperlink r:id="rId714" ref="K420"/>
    <hyperlink r:id="rId715" ref="E421"/>
    <hyperlink r:id="rId716" ref="G421"/>
    <hyperlink r:id="rId717" ref="K421"/>
    <hyperlink r:id="rId718" ref="F422"/>
    <hyperlink r:id="rId719" ref="F423"/>
    <hyperlink r:id="rId720" ref="F424"/>
    <hyperlink r:id="rId721" ref="F425"/>
    <hyperlink r:id="rId722" ref="F426"/>
    <hyperlink r:id="rId723" ref="F427"/>
    <hyperlink r:id="rId724" ref="F428"/>
    <hyperlink r:id="rId725" ref="F429"/>
    <hyperlink r:id="rId726" ref="F430"/>
    <hyperlink r:id="rId727" ref="F431"/>
    <hyperlink r:id="rId728" ref="F432"/>
    <hyperlink r:id="rId729" ref="F433"/>
    <hyperlink r:id="rId730" ref="F434"/>
    <hyperlink r:id="rId731" ref="F435"/>
    <hyperlink r:id="rId732" ref="F436"/>
    <hyperlink r:id="rId733" ref="F437"/>
    <hyperlink r:id="rId734" ref="F438"/>
    <hyperlink r:id="rId735" ref="F439"/>
    <hyperlink r:id="rId736" ref="F440"/>
    <hyperlink r:id="rId737" ref="F441"/>
    <hyperlink r:id="rId738" ref="F442"/>
    <hyperlink r:id="rId739" ref="F443"/>
    <hyperlink r:id="rId740" ref="F444"/>
    <hyperlink r:id="rId741" ref="F445"/>
    <hyperlink r:id="rId742" ref="F446"/>
    <hyperlink r:id="rId743" ref="F447"/>
    <hyperlink r:id="rId744" ref="F448"/>
    <hyperlink r:id="rId745" ref="F449"/>
    <hyperlink r:id="rId746" ref="F450"/>
    <hyperlink r:id="rId747" ref="F451"/>
    <hyperlink r:id="rId748" ref="F452"/>
    <hyperlink r:id="rId749" ref="F453"/>
    <hyperlink r:id="rId750" ref="F454"/>
    <hyperlink r:id="rId751" ref="F455"/>
    <hyperlink r:id="rId752" ref="F456"/>
    <hyperlink r:id="rId753" ref="F457"/>
    <hyperlink r:id="rId754" ref="F458"/>
    <hyperlink r:id="rId755" ref="F459"/>
    <hyperlink r:id="rId756" ref="F460"/>
    <hyperlink r:id="rId757" ref="F461"/>
    <hyperlink r:id="rId758" ref="F462"/>
    <hyperlink r:id="rId759" ref="F463"/>
    <hyperlink r:id="rId760" ref="F464"/>
    <hyperlink r:id="rId761" ref="F465"/>
    <hyperlink r:id="rId762" ref="F466"/>
    <hyperlink r:id="rId763" ref="F467"/>
    <hyperlink r:id="rId764" ref="F468"/>
    <hyperlink r:id="rId765" ref="F469"/>
    <hyperlink r:id="rId766" ref="F470"/>
    <hyperlink r:id="rId767" ref="F471"/>
    <hyperlink r:id="rId768" ref="G471"/>
    <hyperlink r:id="rId769" ref="K471"/>
    <hyperlink r:id="rId770" ref="F472"/>
    <hyperlink r:id="rId771" ref="F473"/>
    <hyperlink r:id="rId772" ref="F474"/>
    <hyperlink r:id="rId773" ref="G474"/>
    <hyperlink r:id="rId774" ref="K474"/>
    <hyperlink r:id="rId775" ref="G475"/>
    <hyperlink r:id="rId776" ref="K475"/>
    <hyperlink r:id="rId777" ref="G476"/>
    <hyperlink r:id="rId778" ref="K476"/>
    <hyperlink r:id="rId779" ref="E477"/>
    <hyperlink r:id="rId780" ref="G477"/>
    <hyperlink r:id="rId781" ref="K477"/>
    <hyperlink r:id="rId782" ref="F478"/>
    <hyperlink r:id="rId783" ref="G478"/>
    <hyperlink r:id="rId784" ref="K478"/>
    <hyperlink r:id="rId785" ref="F479"/>
    <hyperlink r:id="rId786" ref="F480"/>
    <hyperlink r:id="rId787" ref="G480"/>
    <hyperlink r:id="rId788" ref="K480"/>
    <hyperlink r:id="rId789" ref="G481"/>
    <hyperlink r:id="rId790" ref="K481"/>
    <hyperlink r:id="rId791" ref="F482"/>
    <hyperlink r:id="rId792" ref="G482"/>
    <hyperlink r:id="rId793" ref="K482"/>
    <hyperlink r:id="rId794" ref="G483"/>
    <hyperlink r:id="rId795" ref="K483"/>
    <hyperlink r:id="rId796" ref="F484"/>
    <hyperlink r:id="rId797" ref="G485"/>
    <hyperlink r:id="rId798" ref="K485"/>
    <hyperlink r:id="rId799" ref="F486"/>
    <hyperlink r:id="rId800" ref="G486"/>
    <hyperlink r:id="rId801" ref="K486"/>
    <hyperlink r:id="rId802" ref="F487"/>
    <hyperlink r:id="rId803" ref="G487"/>
    <hyperlink r:id="rId804" ref="K487"/>
    <hyperlink r:id="rId805" ref="G488"/>
    <hyperlink r:id="rId806" ref="K488"/>
    <hyperlink r:id="rId807" ref="F489"/>
    <hyperlink r:id="rId808" ref="F490"/>
    <hyperlink r:id="rId809" ref="G490"/>
    <hyperlink r:id="rId810" ref="K490"/>
    <hyperlink r:id="rId811" ref="F491"/>
    <hyperlink r:id="rId812" ref="F492"/>
    <hyperlink r:id="rId813" ref="F493"/>
    <hyperlink r:id="rId814" ref="F494"/>
    <hyperlink r:id="rId815" ref="F495"/>
    <hyperlink r:id="rId816" ref="F496"/>
    <hyperlink r:id="rId817" ref="F497"/>
    <hyperlink r:id="rId818" ref="F498"/>
    <hyperlink r:id="rId819" ref="F499"/>
    <hyperlink r:id="rId820" ref="F500"/>
    <hyperlink r:id="rId821" ref="F501"/>
    <hyperlink r:id="rId822" ref="F502"/>
    <hyperlink r:id="rId823" ref="F503"/>
    <hyperlink r:id="rId824" ref="G503"/>
    <hyperlink r:id="rId825" ref="K503"/>
    <hyperlink r:id="rId826" ref="F504"/>
    <hyperlink r:id="rId827" ref="G505"/>
    <hyperlink r:id="rId828" ref="K505"/>
    <hyperlink r:id="rId829" ref="F506"/>
    <hyperlink r:id="rId830" ref="F507"/>
    <hyperlink r:id="rId831" ref="F508"/>
    <hyperlink r:id="rId832" ref="F509"/>
    <hyperlink r:id="rId833" ref="F510"/>
    <hyperlink r:id="rId834" ref="F511"/>
    <hyperlink r:id="rId835" ref="F512"/>
    <hyperlink r:id="rId836" ref="F513"/>
    <hyperlink r:id="rId837" ref="G513"/>
    <hyperlink r:id="rId838" ref="K513"/>
    <hyperlink r:id="rId839" ref="F514"/>
    <hyperlink r:id="rId840" ref="G515"/>
    <hyperlink r:id="rId841" ref="K515"/>
    <hyperlink r:id="rId842" ref="G516"/>
    <hyperlink r:id="rId843" ref="K516"/>
    <hyperlink r:id="rId844" ref="F517"/>
    <hyperlink r:id="rId845" ref="G518"/>
    <hyperlink r:id="rId846" ref="K518"/>
    <hyperlink r:id="rId847" ref="G519"/>
    <hyperlink r:id="rId848" ref="K519"/>
    <hyperlink r:id="rId849" ref="G520"/>
    <hyperlink r:id="rId850" ref="K520"/>
    <hyperlink r:id="rId851" ref="F521"/>
    <hyperlink r:id="rId852" ref="G521"/>
    <hyperlink r:id="rId853" ref="K521"/>
    <hyperlink r:id="rId854" ref="F522"/>
    <hyperlink r:id="rId855" ref="G522"/>
    <hyperlink r:id="rId856" ref="K522"/>
    <hyperlink r:id="rId857" ref="F523"/>
    <hyperlink r:id="rId858" ref="G523"/>
    <hyperlink r:id="rId859" ref="K523"/>
    <hyperlink r:id="rId860" ref="G524"/>
    <hyperlink r:id="rId861" ref="K524"/>
    <hyperlink r:id="rId862" ref="F525"/>
    <hyperlink r:id="rId863" ref="G525"/>
    <hyperlink r:id="rId864" ref="K525"/>
    <hyperlink r:id="rId865" ref="G526"/>
    <hyperlink r:id="rId866" ref="K526"/>
    <hyperlink r:id="rId867" ref="F527"/>
    <hyperlink r:id="rId868" ref="G527"/>
    <hyperlink r:id="rId869" ref="K527"/>
    <hyperlink r:id="rId870" ref="G528"/>
    <hyperlink r:id="rId871" ref="K528"/>
    <hyperlink r:id="rId872" ref="F529"/>
    <hyperlink r:id="rId873" ref="G529"/>
    <hyperlink r:id="rId874" ref="K529"/>
    <hyperlink r:id="rId875" ref="F530"/>
    <hyperlink r:id="rId876" ref="G530"/>
    <hyperlink r:id="rId877" ref="K530"/>
    <hyperlink r:id="rId878" ref="F531"/>
    <hyperlink r:id="rId879" ref="F532"/>
    <hyperlink r:id="rId880" ref="G532"/>
    <hyperlink r:id="rId881" ref="K532"/>
    <hyperlink r:id="rId882" ref="F533"/>
    <hyperlink r:id="rId883" ref="G533"/>
    <hyperlink r:id="rId884" ref="K533"/>
    <hyperlink r:id="rId885" ref="G534"/>
    <hyperlink r:id="rId886" ref="K534"/>
    <hyperlink r:id="rId887" ref="F535"/>
    <hyperlink r:id="rId888" ref="G536"/>
    <hyperlink r:id="rId889" ref="K536"/>
    <hyperlink r:id="rId890" ref="G537"/>
    <hyperlink r:id="rId891" ref="K537"/>
    <hyperlink r:id="rId892" ref="G538"/>
    <hyperlink r:id="rId893" ref="K538"/>
    <hyperlink r:id="rId894" ref="G539"/>
    <hyperlink r:id="rId895" ref="K539"/>
    <hyperlink r:id="rId896" ref="G540"/>
    <hyperlink r:id="rId897" ref="K540"/>
    <hyperlink r:id="rId898" ref="F541"/>
    <hyperlink r:id="rId899" ref="K541"/>
    <hyperlink r:id="rId900" ref="F542"/>
    <hyperlink r:id="rId901" ref="G542"/>
    <hyperlink r:id="rId902" ref="K542"/>
    <hyperlink r:id="rId903" ref="F543"/>
    <hyperlink r:id="rId904" ref="G543"/>
    <hyperlink r:id="rId905" ref="K543"/>
    <hyperlink r:id="rId906" ref="G544"/>
    <hyperlink r:id="rId907" ref="K544"/>
    <hyperlink r:id="rId908" ref="F545"/>
    <hyperlink r:id="rId909" ref="F546"/>
    <hyperlink r:id="rId910" ref="F547"/>
    <hyperlink r:id="rId911" ref="G548"/>
    <hyperlink r:id="rId912" ref="K548"/>
    <hyperlink r:id="rId913" ref="F549"/>
    <hyperlink r:id="rId914" ref="G549"/>
    <hyperlink r:id="rId915" ref="K549"/>
    <hyperlink r:id="rId916" ref="F550"/>
    <hyperlink r:id="rId917" ref="G550"/>
    <hyperlink r:id="rId918" ref="K550"/>
    <hyperlink r:id="rId919" ref="G551"/>
    <hyperlink r:id="rId920" ref="K551"/>
    <hyperlink r:id="rId921" ref="F552"/>
    <hyperlink r:id="rId922" ref="G552"/>
    <hyperlink r:id="rId923" ref="K552"/>
    <hyperlink r:id="rId924" ref="G553"/>
    <hyperlink r:id="rId925" ref="K553"/>
    <hyperlink r:id="rId926" ref="G554"/>
    <hyperlink r:id="rId927" ref="K554"/>
    <hyperlink r:id="rId928" ref="F555"/>
    <hyperlink r:id="rId929" ref="G555"/>
    <hyperlink r:id="rId930" ref="K555"/>
    <hyperlink r:id="rId931" ref="G556"/>
    <hyperlink r:id="rId932" ref="K556"/>
    <hyperlink r:id="rId933" ref="G557"/>
    <hyperlink r:id="rId934" ref="K557"/>
    <hyperlink r:id="rId935" ref="G558"/>
    <hyperlink r:id="rId936" ref="K558"/>
    <hyperlink r:id="rId937" ref="F559"/>
    <hyperlink r:id="rId938" ref="G559"/>
    <hyperlink r:id="rId939" ref="K559"/>
    <hyperlink r:id="rId940" ref="G560"/>
    <hyperlink r:id="rId941" ref="K560"/>
    <hyperlink r:id="rId942" ref="F561"/>
    <hyperlink r:id="rId943" ref="F562"/>
    <hyperlink r:id="rId944" ref="F563"/>
    <hyperlink r:id="rId945" ref="F564"/>
    <hyperlink r:id="rId946" ref="F565"/>
    <hyperlink r:id="rId947" ref="F566"/>
    <hyperlink r:id="rId948" ref="G566"/>
    <hyperlink r:id="rId949" ref="K566"/>
    <hyperlink r:id="rId950" ref="F567"/>
    <hyperlink r:id="rId951" ref="G567"/>
    <hyperlink r:id="rId952" ref="K567"/>
    <hyperlink r:id="rId953" ref="F568"/>
    <hyperlink r:id="rId954" ref="G568"/>
    <hyperlink r:id="rId955" ref="K568"/>
    <hyperlink r:id="rId956" ref="F569"/>
    <hyperlink r:id="rId957" ref="F570"/>
    <hyperlink r:id="rId958" ref="F571"/>
    <hyperlink r:id="rId959" ref="G571"/>
    <hyperlink r:id="rId960" ref="K571"/>
    <hyperlink r:id="rId961" ref="F572"/>
    <hyperlink r:id="rId962" ref="F573"/>
    <hyperlink r:id="rId963" ref="F574"/>
    <hyperlink r:id="rId964" ref="F575"/>
    <hyperlink r:id="rId965" ref="G575"/>
    <hyperlink r:id="rId966" ref="K575"/>
    <hyperlink r:id="rId967" ref="G576"/>
    <hyperlink r:id="rId968" ref="K576"/>
    <hyperlink r:id="rId969" ref="G577"/>
    <hyperlink r:id="rId970" ref="K577"/>
    <hyperlink r:id="rId971" ref="F578"/>
    <hyperlink r:id="rId972" ref="G579"/>
    <hyperlink r:id="rId973" ref="K579"/>
    <hyperlink r:id="rId974" ref="G580"/>
    <hyperlink r:id="rId975" ref="K580"/>
    <hyperlink r:id="rId976" ref="F581"/>
    <hyperlink r:id="rId977" ref="F582"/>
    <hyperlink r:id="rId978" ref="G582"/>
    <hyperlink r:id="rId979" ref="K582"/>
    <hyperlink r:id="rId980" ref="F583"/>
    <hyperlink r:id="rId981" ref="G583"/>
    <hyperlink r:id="rId982" ref="K583"/>
    <hyperlink r:id="rId983" ref="F584"/>
    <hyperlink r:id="rId984" ref="G585"/>
    <hyperlink r:id="rId985" ref="K585"/>
    <hyperlink r:id="rId986" ref="F586"/>
    <hyperlink r:id="rId987" ref="F587"/>
    <hyperlink r:id="rId988" ref="F588"/>
    <hyperlink r:id="rId989" ref="G588"/>
    <hyperlink r:id="rId990" ref="K588"/>
    <hyperlink r:id="rId991" ref="F589"/>
    <hyperlink r:id="rId992" ref="K589"/>
    <hyperlink r:id="rId993" ref="F590"/>
    <hyperlink r:id="rId994" ref="F591"/>
    <hyperlink r:id="rId995" ref="F592"/>
    <hyperlink r:id="rId996" ref="F593"/>
    <hyperlink r:id="rId997" ref="F594"/>
    <hyperlink r:id="rId998" ref="F595"/>
    <hyperlink r:id="rId999" ref="G595"/>
    <hyperlink r:id="rId1000" ref="K595"/>
    <hyperlink r:id="rId1001" ref="G596"/>
    <hyperlink r:id="rId1002" ref="K596"/>
    <hyperlink r:id="rId1003" ref="F597"/>
    <hyperlink r:id="rId1004" ref="F598"/>
    <hyperlink r:id="rId1005" ref="G598"/>
    <hyperlink r:id="rId1006" ref="K598"/>
    <hyperlink r:id="rId1007" ref="G599"/>
    <hyperlink r:id="rId1008" ref="K599"/>
    <hyperlink r:id="rId1009" ref="F600"/>
    <hyperlink r:id="rId1010" ref="G600"/>
    <hyperlink r:id="rId1011" ref="K600"/>
    <hyperlink r:id="rId1012" ref="F601"/>
    <hyperlink r:id="rId1013" ref="F602"/>
    <hyperlink r:id="rId1014" ref="G602"/>
    <hyperlink r:id="rId1015" ref="K602"/>
    <hyperlink r:id="rId1016" ref="G603"/>
    <hyperlink r:id="rId1017" ref="K603"/>
    <hyperlink r:id="rId1018" ref="G604"/>
    <hyperlink r:id="rId1019" ref="K604"/>
    <hyperlink r:id="rId1020" ref="F605"/>
    <hyperlink r:id="rId1021" ref="G605"/>
    <hyperlink r:id="rId1022" ref="K605"/>
    <hyperlink r:id="rId1023" ref="F606"/>
    <hyperlink r:id="rId1024" ref="F607"/>
    <hyperlink r:id="rId1025" ref="F608"/>
    <hyperlink r:id="rId1026" ref="F609"/>
    <hyperlink r:id="rId1027" ref="F610"/>
    <hyperlink r:id="rId1028" ref="F611"/>
    <hyperlink r:id="rId1029" ref="F612"/>
    <hyperlink r:id="rId1030" ref="F613"/>
    <hyperlink r:id="rId1031" ref="F614"/>
    <hyperlink r:id="rId1032" ref="F615"/>
    <hyperlink r:id="rId1033" ref="G616"/>
    <hyperlink r:id="rId1034" ref="K616"/>
    <hyperlink r:id="rId1035" ref="F617"/>
    <hyperlink r:id="rId1036" ref="G617"/>
    <hyperlink r:id="rId1037" ref="K617"/>
    <hyperlink r:id="rId1038" ref="F618"/>
    <hyperlink r:id="rId1039" ref="G619"/>
    <hyperlink r:id="rId1040" ref="K619"/>
    <hyperlink r:id="rId1041" ref="G620"/>
    <hyperlink r:id="rId1042" ref="K620"/>
    <hyperlink r:id="rId1043" ref="F621"/>
    <hyperlink r:id="rId1044" ref="F622"/>
    <hyperlink r:id="rId1045" ref="F623"/>
    <hyperlink r:id="rId1046" ref="G623"/>
    <hyperlink r:id="rId1047" ref="K623"/>
    <hyperlink r:id="rId1048" ref="F624"/>
    <hyperlink r:id="rId1049" ref="F625"/>
    <hyperlink r:id="rId1050" ref="F626"/>
    <hyperlink r:id="rId1051" ref="F627"/>
    <hyperlink r:id="rId1052" ref="F628"/>
    <hyperlink r:id="rId1053" ref="G629"/>
    <hyperlink r:id="rId1054" ref="K629"/>
    <hyperlink r:id="rId1055" ref="F630"/>
    <hyperlink r:id="rId1056" ref="G630"/>
    <hyperlink r:id="rId1057" ref="F631"/>
    <hyperlink r:id="rId1058" ref="G631"/>
    <hyperlink r:id="rId1059" ref="K631"/>
    <hyperlink r:id="rId1060" ref="F632"/>
    <hyperlink r:id="rId1061" ref="G633"/>
    <hyperlink r:id="rId1062" ref="K633"/>
    <hyperlink r:id="rId1063" ref="F634"/>
    <hyperlink r:id="rId1064" ref="F635"/>
    <hyperlink r:id="rId1065" ref="G635"/>
    <hyperlink r:id="rId1066" ref="K635"/>
    <hyperlink r:id="rId1067" ref="F636"/>
    <hyperlink r:id="rId1068" ref="G636"/>
    <hyperlink r:id="rId1069" ref="K636"/>
    <hyperlink r:id="rId1070" ref="G637"/>
    <hyperlink r:id="rId1071" ref="K637"/>
    <hyperlink r:id="rId1072" ref="F638"/>
    <hyperlink r:id="rId1073" ref="G638"/>
    <hyperlink r:id="rId1074" ref="K638"/>
    <hyperlink r:id="rId1075" ref="F639"/>
    <hyperlink r:id="rId1076" ref="G639"/>
    <hyperlink r:id="rId1077" ref="K639"/>
    <hyperlink r:id="rId1078" ref="F640"/>
    <hyperlink r:id="rId1079" ref="G641"/>
    <hyperlink r:id="rId1080" ref="K641"/>
    <hyperlink r:id="rId1081" ref="F642"/>
    <hyperlink r:id="rId1082" ref="F643"/>
    <hyperlink r:id="rId1083" ref="G643"/>
    <hyperlink r:id="rId1084" ref="K643"/>
    <hyperlink r:id="rId1085" ref="F644"/>
    <hyperlink r:id="rId1086" ref="F645"/>
    <hyperlink r:id="rId1087" ref="F646"/>
    <hyperlink r:id="rId1088" ref="F647"/>
    <hyperlink r:id="rId1089" ref="F648"/>
    <hyperlink r:id="rId1090" ref="F649"/>
    <hyperlink r:id="rId1091" ref="F650"/>
    <hyperlink r:id="rId1092" ref="F651"/>
    <hyperlink r:id="rId1093" ref="F652"/>
    <hyperlink r:id="rId1094" ref="G652"/>
    <hyperlink r:id="rId1095" ref="K652"/>
    <hyperlink r:id="rId1096" ref="F653"/>
    <hyperlink r:id="rId1097" ref="G654"/>
    <hyperlink r:id="rId1098" ref="K654"/>
    <hyperlink r:id="rId1099" ref="F655"/>
    <hyperlink r:id="rId1100" ref="F656"/>
    <hyperlink r:id="rId1101" ref="G657"/>
    <hyperlink r:id="rId1102" ref="K657"/>
    <hyperlink r:id="rId1103" ref="F658"/>
    <hyperlink r:id="rId1104" ref="F659"/>
    <hyperlink r:id="rId1105" ref="F660"/>
    <hyperlink r:id="rId1106" ref="G660"/>
    <hyperlink r:id="rId1107" ref="K660"/>
    <hyperlink r:id="rId1108" ref="F661"/>
    <hyperlink r:id="rId1109" ref="G661"/>
    <hyperlink r:id="rId1110" ref="K661"/>
    <hyperlink r:id="rId1111" ref="F662"/>
    <hyperlink r:id="rId1112" ref="F663"/>
    <hyperlink r:id="rId1113" ref="G664"/>
    <hyperlink r:id="rId1114" ref="K664"/>
    <hyperlink r:id="rId1115" ref="F665"/>
    <hyperlink r:id="rId1116" ref="G665"/>
    <hyperlink r:id="rId1117" ref="K665"/>
    <hyperlink r:id="rId1118" ref="F666"/>
    <hyperlink r:id="rId1119" ref="F667"/>
    <hyperlink r:id="rId1120" ref="F668"/>
    <hyperlink r:id="rId1121" ref="F669"/>
    <hyperlink r:id="rId1122" ref="G669"/>
    <hyperlink r:id="rId1123" ref="K669"/>
    <hyperlink r:id="rId1124" ref="F670"/>
    <hyperlink r:id="rId1125" ref="F671"/>
    <hyperlink r:id="rId1126" ref="F672"/>
    <hyperlink r:id="rId1127" ref="F673"/>
    <hyperlink r:id="rId1128" ref="F674"/>
    <hyperlink r:id="rId1129" ref="F675"/>
    <hyperlink r:id="rId1130" ref="F676"/>
    <hyperlink r:id="rId1131" ref="F677"/>
    <hyperlink r:id="rId1132" ref="F678"/>
    <hyperlink r:id="rId1133" ref="F679"/>
    <hyperlink r:id="rId1134" ref="F680"/>
    <hyperlink r:id="rId1135" ref="F681"/>
    <hyperlink r:id="rId1136" ref="F682"/>
    <hyperlink r:id="rId1137" ref="F683"/>
    <hyperlink r:id="rId1138" ref="F684"/>
    <hyperlink r:id="rId1139" ref="F685"/>
    <hyperlink r:id="rId1140" ref="F686"/>
    <hyperlink r:id="rId1141" ref="F687"/>
    <hyperlink r:id="rId1142" ref="G688"/>
    <hyperlink r:id="rId1143" ref="K688"/>
    <hyperlink r:id="rId1144" ref="F689"/>
    <hyperlink r:id="rId1145" ref="F690"/>
    <hyperlink r:id="rId1146" ref="F691"/>
    <hyperlink r:id="rId1147" ref="F692"/>
    <hyperlink r:id="rId1148" ref="F693"/>
    <hyperlink r:id="rId1149" ref="F694"/>
    <hyperlink r:id="rId1150" ref="F695"/>
    <hyperlink r:id="rId1151" ref="F696"/>
    <hyperlink r:id="rId1152" ref="F697"/>
    <hyperlink r:id="rId1153" ref="F698"/>
    <hyperlink r:id="rId1154" ref="F699"/>
    <hyperlink r:id="rId1155" ref="F700"/>
    <hyperlink r:id="rId1156" ref="F701"/>
    <hyperlink r:id="rId1157" ref="G702"/>
    <hyperlink r:id="rId1158" ref="F703"/>
    <hyperlink r:id="rId1159" ref="F704"/>
    <hyperlink r:id="rId1160" ref="F705"/>
    <hyperlink r:id="rId1161" ref="F706"/>
    <hyperlink r:id="rId1162" ref="F707"/>
    <hyperlink r:id="rId1163" ref="F708"/>
    <hyperlink r:id="rId1164" ref="F709"/>
    <hyperlink r:id="rId1165" ref="F710"/>
    <hyperlink r:id="rId1166" ref="F711"/>
    <hyperlink r:id="rId1167" ref="F712"/>
    <hyperlink r:id="rId1168" ref="F713"/>
    <hyperlink r:id="rId1169" ref="F714"/>
    <hyperlink r:id="rId1170" ref="F715"/>
    <hyperlink r:id="rId1171" ref="F716"/>
    <hyperlink r:id="rId1172" ref="F717"/>
    <hyperlink r:id="rId1173" ref="F718"/>
    <hyperlink r:id="rId1174" ref="G719"/>
    <hyperlink r:id="rId1175" ref="F720"/>
    <hyperlink r:id="rId1176" ref="F721"/>
    <hyperlink r:id="rId1177" ref="F722"/>
    <hyperlink r:id="rId1178" ref="F723"/>
    <hyperlink r:id="rId1179" ref="F724"/>
    <hyperlink r:id="rId1180" ref="F725"/>
    <hyperlink r:id="rId1181" ref="F726"/>
    <hyperlink r:id="rId1182" ref="F727"/>
    <hyperlink r:id="rId1183" ref="F728"/>
    <hyperlink r:id="rId1184" ref="F729"/>
    <hyperlink r:id="rId1185" ref="F730"/>
    <hyperlink r:id="rId1186" ref="F731"/>
    <hyperlink r:id="rId1187" ref="F732"/>
    <hyperlink r:id="rId1188" ref="F733"/>
    <hyperlink r:id="rId1189" ref="F734"/>
    <hyperlink r:id="rId1190" ref="F735"/>
    <hyperlink r:id="rId1191" ref="F736"/>
    <hyperlink r:id="rId1192" ref="F737"/>
    <hyperlink r:id="rId1193" ref="F738"/>
    <hyperlink r:id="rId1194" ref="F739"/>
    <hyperlink r:id="rId1195" ref="F740"/>
    <hyperlink r:id="rId1196" ref="F741"/>
    <hyperlink r:id="rId1197" ref="F742"/>
    <hyperlink r:id="rId1198" ref="F743"/>
    <hyperlink r:id="rId1199" ref="G744"/>
    <hyperlink r:id="rId1200" ref="F745"/>
    <hyperlink r:id="rId1201" ref="F746"/>
    <hyperlink r:id="rId1202" ref="F747"/>
    <hyperlink r:id="rId1203" ref="F748"/>
    <hyperlink r:id="rId1204" ref="F749"/>
    <hyperlink r:id="rId1205" ref="F750"/>
    <hyperlink r:id="rId1206" ref="F751"/>
    <hyperlink r:id="rId1207" ref="F752"/>
    <hyperlink r:id="rId1208" ref="F753"/>
    <hyperlink r:id="rId1209" ref="F754"/>
    <hyperlink r:id="rId1210" ref="F755"/>
    <hyperlink r:id="rId1211" ref="F756"/>
    <hyperlink r:id="rId1212" ref="F757"/>
    <hyperlink r:id="rId1213" ref="F758"/>
    <hyperlink r:id="rId1214" ref="F759"/>
  </hyperlinks>
  <drawing r:id="rId121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3" width="18.88"/>
  </cols>
  <sheetData>
    <row r="2">
      <c r="B2" s="26" t="s">
        <v>0</v>
      </c>
      <c r="C2" s="3" t="s">
        <v>5</v>
      </c>
    </row>
    <row r="3">
      <c r="B3" s="6" t="s">
        <v>1816</v>
      </c>
      <c r="C3" s="32" t="s">
        <v>1817</v>
      </c>
    </row>
    <row r="4">
      <c r="B4" s="6" t="s">
        <v>1818</v>
      </c>
      <c r="C4" s="11" t="s">
        <v>1819</v>
      </c>
    </row>
    <row r="5">
      <c r="C5" s="7"/>
    </row>
    <row r="6">
      <c r="C6" s="7"/>
    </row>
    <row r="11">
      <c r="C11" s="7"/>
    </row>
    <row r="12">
      <c r="C12" s="7"/>
    </row>
    <row r="17">
      <c r="B17" s="10"/>
    </row>
    <row r="20">
      <c r="C20" s="7"/>
      <c r="D20" s="1"/>
      <c r="J20" s="30"/>
    </row>
    <row r="21">
      <c r="C21" s="7"/>
      <c r="D21" s="10"/>
      <c r="F21" s="7"/>
      <c r="J21" s="30"/>
    </row>
    <row r="22">
      <c r="C22" s="7"/>
      <c r="D22" s="10"/>
      <c r="E22" s="10"/>
      <c r="F22" s="10"/>
      <c r="H22" s="7"/>
      <c r="L22" s="30"/>
    </row>
    <row r="23">
      <c r="C23" s="7"/>
    </row>
    <row r="24">
      <c r="C24" s="12"/>
    </row>
    <row r="25">
      <c r="C25" s="7"/>
    </row>
    <row r="26">
      <c r="C26" s="12"/>
    </row>
    <row r="27">
      <c r="C27" s="7"/>
    </row>
    <row r="28">
      <c r="C28" s="7"/>
    </row>
    <row r="29">
      <c r="C29" s="7"/>
    </row>
  </sheetData>
  <hyperlinks>
    <hyperlink r:id="rId1" ref="C3"/>
    <hyperlink r:id="rId2" ref="C4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63"/>
    <col customWidth="1" min="2" max="3" width="18.88"/>
    <col customWidth="1" min="4" max="4" width="37.63"/>
  </cols>
  <sheetData>
    <row r="1">
      <c r="C1" s="1"/>
    </row>
    <row r="2">
      <c r="B2" s="26" t="s">
        <v>0</v>
      </c>
      <c r="C2" s="3" t="s">
        <v>5</v>
      </c>
      <c r="D2" s="3" t="s">
        <v>1820</v>
      </c>
    </row>
    <row r="3">
      <c r="B3" s="6" t="s">
        <v>1821</v>
      </c>
      <c r="C3" s="8" t="s">
        <v>1822</v>
      </c>
    </row>
    <row r="4">
      <c r="B4" s="6" t="s">
        <v>1823</v>
      </c>
      <c r="C4" s="8" t="s">
        <v>1824</v>
      </c>
    </row>
    <row r="5">
      <c r="B5" s="6" t="s">
        <v>1825</v>
      </c>
      <c r="C5" s="1"/>
    </row>
    <row r="6">
      <c r="B6" s="6" t="s">
        <v>1826</v>
      </c>
      <c r="C6" s="8" t="s">
        <v>1827</v>
      </c>
    </row>
    <row r="7">
      <c r="B7" s="6" t="s">
        <v>1828</v>
      </c>
      <c r="C7" s="8" t="s">
        <v>1829</v>
      </c>
    </row>
    <row r="8">
      <c r="B8" s="6" t="s">
        <v>1830</v>
      </c>
      <c r="C8" s="1"/>
    </row>
    <row r="9">
      <c r="B9" s="6" t="s">
        <v>1831</v>
      </c>
      <c r="C9" s="11" t="s">
        <v>1832</v>
      </c>
    </row>
    <row r="10">
      <c r="B10" s="6" t="s">
        <v>1833</v>
      </c>
      <c r="C10" s="32" t="s">
        <v>1834</v>
      </c>
      <c r="D10" s="6" t="s">
        <v>1835</v>
      </c>
    </row>
    <row r="11">
      <c r="B11" s="21" t="s">
        <v>1836</v>
      </c>
      <c r="C11" s="32" t="s">
        <v>1837</v>
      </c>
      <c r="D11" s="6" t="s">
        <v>1838</v>
      </c>
    </row>
    <row r="12">
      <c r="B12" s="6" t="s">
        <v>1839</v>
      </c>
      <c r="C12" s="32" t="s">
        <v>1840</v>
      </c>
      <c r="D12" s="6" t="s">
        <v>1841</v>
      </c>
    </row>
    <row r="13">
      <c r="B13" s="6" t="s">
        <v>1842</v>
      </c>
      <c r="C13" s="8" t="s">
        <v>1843</v>
      </c>
      <c r="D13" s="6" t="s">
        <v>1844</v>
      </c>
    </row>
    <row r="14">
      <c r="B14" s="6" t="s">
        <v>1845</v>
      </c>
      <c r="C14" s="8" t="s">
        <v>1846</v>
      </c>
      <c r="D14" s="6" t="s">
        <v>1847</v>
      </c>
    </row>
    <row r="15">
      <c r="B15" s="6" t="s">
        <v>1848</v>
      </c>
      <c r="C15" s="11" t="s">
        <v>1849</v>
      </c>
      <c r="D15" s="6" t="s">
        <v>1850</v>
      </c>
    </row>
    <row r="16">
      <c r="B16" s="6" t="s">
        <v>1851</v>
      </c>
      <c r="C16" s="8" t="s">
        <v>1852</v>
      </c>
      <c r="D16" s="6" t="s">
        <v>1853</v>
      </c>
    </row>
    <row r="17">
      <c r="B17" s="6" t="s">
        <v>1854</v>
      </c>
      <c r="C17" s="8" t="s">
        <v>1802</v>
      </c>
      <c r="D17" s="6" t="s">
        <v>1855</v>
      </c>
    </row>
    <row r="18">
      <c r="B18" s="6" t="s">
        <v>1856</v>
      </c>
      <c r="C18" s="8" t="s">
        <v>1857</v>
      </c>
      <c r="D18" s="6" t="s">
        <v>1850</v>
      </c>
    </row>
    <row r="19">
      <c r="B19" s="6" t="s">
        <v>1858</v>
      </c>
      <c r="C19" s="8" t="s">
        <v>1859</v>
      </c>
      <c r="D19" s="6" t="s">
        <v>1860</v>
      </c>
    </row>
    <row r="20">
      <c r="B20" s="6" t="s">
        <v>1861</v>
      </c>
      <c r="C20" s="11" t="s">
        <v>1862</v>
      </c>
      <c r="D20" s="6" t="s">
        <v>1863</v>
      </c>
    </row>
    <row r="21">
      <c r="B21" s="6" t="s">
        <v>1864</v>
      </c>
      <c r="C21" s="11" t="s">
        <v>1865</v>
      </c>
      <c r="D21" s="12" t="s">
        <v>1866</v>
      </c>
      <c r="E21" s="12"/>
    </row>
    <row r="22">
      <c r="B22" s="6" t="s">
        <v>1867</v>
      </c>
      <c r="C22" s="11" t="s">
        <v>1868</v>
      </c>
      <c r="D22" s="12" t="s">
        <v>1866</v>
      </c>
      <c r="E22" s="12"/>
    </row>
    <row r="23">
      <c r="B23" s="6" t="s">
        <v>1869</v>
      </c>
      <c r="C23" s="8" t="s">
        <v>1870</v>
      </c>
      <c r="D23" s="12" t="s">
        <v>1866</v>
      </c>
    </row>
    <row r="24">
      <c r="B24" s="6" t="s">
        <v>1871</v>
      </c>
      <c r="C24" s="8" t="s">
        <v>1872</v>
      </c>
      <c r="D24" s="12" t="s">
        <v>1866</v>
      </c>
      <c r="E24" s="7"/>
    </row>
    <row r="25">
      <c r="B25" s="6" t="s">
        <v>1873</v>
      </c>
      <c r="C25" s="11" t="s">
        <v>1874</v>
      </c>
      <c r="D25" s="12" t="s">
        <v>1866</v>
      </c>
      <c r="E25" s="12"/>
    </row>
    <row r="26">
      <c r="B26" s="6" t="s">
        <v>1875</v>
      </c>
      <c r="C26" s="8" t="s">
        <v>1876</v>
      </c>
      <c r="D26" s="12" t="s">
        <v>1866</v>
      </c>
      <c r="E26" s="7"/>
    </row>
    <row r="27">
      <c r="B27" s="6" t="s">
        <v>1877</v>
      </c>
      <c r="C27" s="8" t="s">
        <v>1878</v>
      </c>
      <c r="E27" s="7"/>
    </row>
    <row r="28">
      <c r="B28" s="6" t="s">
        <v>1879</v>
      </c>
      <c r="C28" s="8" t="s">
        <v>1880</v>
      </c>
      <c r="D28" s="7" t="s">
        <v>1881</v>
      </c>
      <c r="E28" s="1"/>
    </row>
    <row r="29">
      <c r="B29" s="6" t="s">
        <v>1882</v>
      </c>
      <c r="C29" s="11" t="s">
        <v>1883</v>
      </c>
      <c r="D29" s="12" t="s">
        <v>1866</v>
      </c>
      <c r="E29" s="12"/>
    </row>
    <row r="30">
      <c r="B30" s="6" t="s">
        <v>1884</v>
      </c>
      <c r="C30" s="8" t="s">
        <v>1885</v>
      </c>
      <c r="D30" s="12" t="s">
        <v>1866</v>
      </c>
      <c r="E30" s="7"/>
    </row>
    <row r="31">
      <c r="B31" s="6" t="s">
        <v>1886</v>
      </c>
      <c r="C31" s="8" t="s">
        <v>1887</v>
      </c>
      <c r="D31" s="12" t="s">
        <v>1866</v>
      </c>
      <c r="E31" s="7"/>
    </row>
    <row r="32">
      <c r="B32" s="6" t="s">
        <v>1888</v>
      </c>
      <c r="C32" s="8" t="s">
        <v>1889</v>
      </c>
      <c r="D32" s="12" t="s">
        <v>1866</v>
      </c>
      <c r="E32" s="7"/>
    </row>
    <row r="33">
      <c r="B33" s="6" t="s">
        <v>1890</v>
      </c>
      <c r="C33" s="8" t="s">
        <v>1891</v>
      </c>
      <c r="D33" s="12" t="s">
        <v>1866</v>
      </c>
      <c r="E33" s="7"/>
    </row>
    <row r="34">
      <c r="B34" s="6" t="s">
        <v>1892</v>
      </c>
      <c r="C34" s="8" t="s">
        <v>1893</v>
      </c>
      <c r="D34" s="12" t="s">
        <v>1866</v>
      </c>
      <c r="E34" s="7"/>
    </row>
    <row r="35">
      <c r="B35" s="6" t="s">
        <v>1894</v>
      </c>
      <c r="C35" s="8" t="s">
        <v>1895</v>
      </c>
      <c r="E35" s="7"/>
    </row>
    <row r="36">
      <c r="B36" s="6" t="s">
        <v>1896</v>
      </c>
      <c r="C36" s="8" t="s">
        <v>1897</v>
      </c>
      <c r="D36" s="7" t="s">
        <v>1898</v>
      </c>
      <c r="E36" s="7"/>
    </row>
    <row r="37">
      <c r="B37" s="6" t="s">
        <v>1899</v>
      </c>
      <c r="C37" s="8" t="s">
        <v>1900</v>
      </c>
      <c r="D37" s="12" t="s">
        <v>1901</v>
      </c>
      <c r="E37" s="1"/>
    </row>
    <row r="38">
      <c r="B38" s="27" t="s">
        <v>1902</v>
      </c>
      <c r="C38" s="27" t="s">
        <v>1903</v>
      </c>
      <c r="D38" s="12" t="s">
        <v>1901</v>
      </c>
    </row>
    <row r="39">
      <c r="B39" s="6" t="s">
        <v>1904</v>
      </c>
      <c r="C39" s="11" t="s">
        <v>1905</v>
      </c>
      <c r="D39" s="12" t="s">
        <v>1866</v>
      </c>
      <c r="E39" s="7"/>
    </row>
    <row r="40">
      <c r="B40" s="6" t="s">
        <v>1906</v>
      </c>
      <c r="C40" s="8" t="s">
        <v>1907</v>
      </c>
      <c r="D40" s="12" t="s">
        <v>1866</v>
      </c>
      <c r="E40" s="7"/>
    </row>
    <row r="41">
      <c r="B41" s="6" t="s">
        <v>1908</v>
      </c>
      <c r="C41" s="11" t="s">
        <v>1909</v>
      </c>
      <c r="D41" s="12" t="s">
        <v>1866</v>
      </c>
      <c r="E41" s="12"/>
    </row>
    <row r="42">
      <c r="B42" s="27" t="s">
        <v>1910</v>
      </c>
      <c r="C42" s="27" t="s">
        <v>1911</v>
      </c>
      <c r="D42" s="12" t="s">
        <v>1866</v>
      </c>
      <c r="E42" s="27"/>
    </row>
    <row r="43">
      <c r="B43" s="6" t="s">
        <v>1912</v>
      </c>
      <c r="C43" s="11" t="s">
        <v>1913</v>
      </c>
      <c r="D43" s="12" t="s">
        <v>1866</v>
      </c>
      <c r="E43" s="12"/>
    </row>
    <row r="44">
      <c r="B44" s="27" t="s">
        <v>1914</v>
      </c>
      <c r="C44" s="27" t="s">
        <v>1915</v>
      </c>
      <c r="D44" s="12" t="s">
        <v>1866</v>
      </c>
      <c r="E44" s="27"/>
    </row>
    <row r="45">
      <c r="B45" s="6" t="s">
        <v>1916</v>
      </c>
      <c r="C45" s="8" t="s">
        <v>1917</v>
      </c>
      <c r="D45" s="12" t="s">
        <v>1866</v>
      </c>
      <c r="E45" s="7"/>
    </row>
    <row r="46">
      <c r="B46" s="27" t="s">
        <v>1918</v>
      </c>
      <c r="C46" s="27" t="s">
        <v>1919</v>
      </c>
      <c r="D46" s="12" t="s">
        <v>1866</v>
      </c>
      <c r="E46" s="27"/>
    </row>
    <row r="47">
      <c r="B47" s="6" t="s">
        <v>1920</v>
      </c>
      <c r="C47" s="8" t="s">
        <v>1921</v>
      </c>
      <c r="D47" s="12" t="s">
        <v>1866</v>
      </c>
      <c r="E47" s="7"/>
    </row>
    <row r="48">
      <c r="B48" s="6" t="s">
        <v>1922</v>
      </c>
      <c r="C48" s="8" t="s">
        <v>1923</v>
      </c>
      <c r="D48" s="12" t="s">
        <v>1866</v>
      </c>
      <c r="E48" s="7"/>
    </row>
    <row r="49">
      <c r="B49" s="6" t="s">
        <v>1924</v>
      </c>
      <c r="C49" s="8" t="s">
        <v>1925</v>
      </c>
      <c r="D49" s="12" t="s">
        <v>1866</v>
      </c>
      <c r="E49" s="7"/>
    </row>
    <row r="50">
      <c r="B50" s="27" t="s">
        <v>1926</v>
      </c>
      <c r="C50" s="27" t="s">
        <v>1927</v>
      </c>
      <c r="D50" s="12" t="s">
        <v>1866</v>
      </c>
      <c r="E50" s="27"/>
    </row>
    <row r="51">
      <c r="B51" s="6" t="s">
        <v>1928</v>
      </c>
      <c r="C51" s="11" t="s">
        <v>1929</v>
      </c>
      <c r="D51" s="12" t="s">
        <v>1866</v>
      </c>
      <c r="E51" s="12"/>
    </row>
    <row r="52">
      <c r="B52" s="6" t="s">
        <v>1930</v>
      </c>
      <c r="C52" s="8" t="s">
        <v>1931</v>
      </c>
      <c r="D52" s="12" t="s">
        <v>1866</v>
      </c>
      <c r="E52" s="7"/>
    </row>
    <row r="53">
      <c r="B53" s="6" t="s">
        <v>1932</v>
      </c>
      <c r="C53" s="35" t="s">
        <v>1933</v>
      </c>
      <c r="D53" s="12" t="s">
        <v>1866</v>
      </c>
    </row>
    <row r="54">
      <c r="B54" s="27" t="s">
        <v>1934</v>
      </c>
      <c r="C54" s="27" t="s">
        <v>1935</v>
      </c>
      <c r="D54" s="12" t="s">
        <v>1866</v>
      </c>
      <c r="E54" s="27"/>
    </row>
    <row r="55">
      <c r="B55" s="6" t="s">
        <v>1936</v>
      </c>
      <c r="C55" s="8" t="s">
        <v>1937</v>
      </c>
      <c r="D55" s="7" t="s">
        <v>1938</v>
      </c>
      <c r="E55" s="7"/>
    </row>
    <row r="56">
      <c r="B56" s="6" t="s">
        <v>1939</v>
      </c>
      <c r="C56" s="8" t="s">
        <v>1940</v>
      </c>
      <c r="D56" s="12" t="s">
        <v>1941</v>
      </c>
    </row>
    <row r="57">
      <c r="B57" s="6" t="s">
        <v>1942</v>
      </c>
      <c r="C57" s="8" t="s">
        <v>1943</v>
      </c>
      <c r="D57" s="6" t="s">
        <v>1944</v>
      </c>
    </row>
    <row r="58">
      <c r="B58" s="6" t="s">
        <v>1945</v>
      </c>
      <c r="C58" s="8" t="s">
        <v>1946</v>
      </c>
      <c r="D58" s="6" t="s">
        <v>1947</v>
      </c>
    </row>
    <row r="59">
      <c r="B59" s="6" t="s">
        <v>1948</v>
      </c>
      <c r="C59" s="8" t="s">
        <v>1949</v>
      </c>
      <c r="D59" s="6" t="s">
        <v>1950</v>
      </c>
    </row>
    <row r="60">
      <c r="B60" s="6" t="s">
        <v>1951</v>
      </c>
      <c r="C60" s="8" t="s">
        <v>1952</v>
      </c>
      <c r="D60" s="6" t="s">
        <v>1953</v>
      </c>
    </row>
    <row r="61">
      <c r="B61" s="6" t="s">
        <v>1954</v>
      </c>
      <c r="C61" s="8" t="s">
        <v>1955</v>
      </c>
      <c r="D61" s="6" t="s">
        <v>1956</v>
      </c>
    </row>
    <row r="62">
      <c r="B62" s="6" t="s">
        <v>1957</v>
      </c>
      <c r="C62" s="8" t="s">
        <v>1958</v>
      </c>
      <c r="D62" s="6" t="s">
        <v>1959</v>
      </c>
    </row>
    <row r="63">
      <c r="B63" s="6" t="s">
        <v>1960</v>
      </c>
      <c r="C63" s="32" t="s">
        <v>1961</v>
      </c>
      <c r="D63" s="6" t="s">
        <v>1962</v>
      </c>
    </row>
    <row r="64">
      <c r="B64" s="6" t="s">
        <v>1963</v>
      </c>
      <c r="C64" s="8" t="s">
        <v>1964</v>
      </c>
      <c r="D64" s="6" t="s">
        <v>1965</v>
      </c>
    </row>
    <row r="65">
      <c r="B65" s="6" t="s">
        <v>1966</v>
      </c>
      <c r="C65" s="8" t="s">
        <v>1967</v>
      </c>
      <c r="D65" s="6" t="s">
        <v>1968</v>
      </c>
    </row>
    <row r="66">
      <c r="B66" s="6" t="s">
        <v>1969</v>
      </c>
      <c r="C66" s="8" t="s">
        <v>1970</v>
      </c>
      <c r="D66" s="6" t="s">
        <v>1971</v>
      </c>
    </row>
    <row r="67">
      <c r="B67" s="6" t="s">
        <v>1972</v>
      </c>
      <c r="C67" s="8" t="s">
        <v>1973</v>
      </c>
      <c r="D67" s="6" t="s">
        <v>1974</v>
      </c>
    </row>
    <row r="68">
      <c r="B68" s="6" t="s">
        <v>1975</v>
      </c>
      <c r="C68" s="8" t="s">
        <v>1976</v>
      </c>
      <c r="D68" s="6" t="s">
        <v>1977</v>
      </c>
    </row>
    <row r="69">
      <c r="B69" s="6" t="s">
        <v>1978</v>
      </c>
      <c r="C69" s="8" t="s">
        <v>1979</v>
      </c>
      <c r="D69" s="6" t="s">
        <v>1980</v>
      </c>
    </row>
    <row r="70">
      <c r="B70" s="6" t="s">
        <v>1981</v>
      </c>
      <c r="C70" s="8" t="s">
        <v>1982</v>
      </c>
      <c r="D70" s="6" t="s">
        <v>1983</v>
      </c>
    </row>
    <row r="71">
      <c r="B71" s="6" t="s">
        <v>1984</v>
      </c>
      <c r="C71" s="8" t="s">
        <v>1985</v>
      </c>
      <c r="D71" s="6" t="s">
        <v>1986</v>
      </c>
    </row>
    <row r="72">
      <c r="B72" s="6" t="s">
        <v>1987</v>
      </c>
      <c r="C72" s="8" t="s">
        <v>1988</v>
      </c>
      <c r="D72" s="6" t="s">
        <v>1989</v>
      </c>
    </row>
    <row r="73">
      <c r="B73" s="6" t="s">
        <v>1990</v>
      </c>
      <c r="C73" s="8" t="s">
        <v>1991</v>
      </c>
      <c r="D73" s="6" t="s">
        <v>1992</v>
      </c>
    </row>
    <row r="74">
      <c r="B74" s="6" t="s">
        <v>1993</v>
      </c>
      <c r="C74" s="8" t="s">
        <v>1994</v>
      </c>
      <c r="D74" s="6" t="s">
        <v>1992</v>
      </c>
    </row>
    <row r="75">
      <c r="B75" s="6" t="s">
        <v>1995</v>
      </c>
      <c r="C75" s="8" t="s">
        <v>1996</v>
      </c>
      <c r="D75" s="6" t="s">
        <v>1992</v>
      </c>
    </row>
    <row r="76">
      <c r="B76" s="6" t="s">
        <v>1997</v>
      </c>
      <c r="C76" s="8" t="s">
        <v>1998</v>
      </c>
      <c r="D76" s="6" t="s">
        <v>1999</v>
      </c>
    </row>
    <row r="77">
      <c r="B77" s="6" t="s">
        <v>2000</v>
      </c>
      <c r="C77" s="8" t="s">
        <v>2001</v>
      </c>
      <c r="D77" s="6" t="s">
        <v>2002</v>
      </c>
    </row>
    <row r="78">
      <c r="B78" s="6" t="s">
        <v>2003</v>
      </c>
      <c r="C78" s="8" t="s">
        <v>2004</v>
      </c>
      <c r="D78" s="6" t="s">
        <v>1992</v>
      </c>
    </row>
    <row r="79">
      <c r="B79" s="6" t="s">
        <v>2005</v>
      </c>
      <c r="C79" s="8" t="s">
        <v>2006</v>
      </c>
      <c r="D79" s="6" t="s">
        <v>1992</v>
      </c>
    </row>
    <row r="80">
      <c r="B80" s="6" t="s">
        <v>2007</v>
      </c>
      <c r="C80" s="32" t="s">
        <v>2008</v>
      </c>
      <c r="D80" s="6" t="s">
        <v>2009</v>
      </c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</sheetData>
  <hyperlinks>
    <hyperlink r:id="rId1" ref="C3"/>
    <hyperlink r:id="rId2" ref="C4"/>
    <hyperlink r:id="rId3" ref="C6"/>
    <hyperlink r:id="rId4" ref="C7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  <hyperlink r:id="rId30" ref="C34"/>
    <hyperlink r:id="rId31" ref="C35"/>
    <hyperlink r:id="rId32" ref="C36"/>
    <hyperlink r:id="rId33" ref="C37"/>
    <hyperlink r:id="rId34" ref="C39"/>
    <hyperlink r:id="rId35" ref="C40"/>
    <hyperlink r:id="rId36" ref="C41"/>
    <hyperlink r:id="rId37" ref="C43"/>
    <hyperlink r:id="rId38" ref="C45"/>
    <hyperlink r:id="rId39" ref="C47"/>
    <hyperlink r:id="rId40" ref="C48"/>
    <hyperlink r:id="rId41" ref="C49"/>
    <hyperlink r:id="rId42" ref="C51"/>
    <hyperlink r:id="rId43" ref="C52"/>
    <hyperlink r:id="rId44" ref="C55"/>
    <hyperlink r:id="rId45" ref="C56"/>
    <hyperlink r:id="rId46" ref="C57"/>
    <hyperlink r:id="rId47" ref="C58"/>
    <hyperlink r:id="rId48" ref="C59"/>
    <hyperlink r:id="rId49" ref="C60"/>
    <hyperlink r:id="rId50" ref="C61"/>
    <hyperlink r:id="rId51" ref="C62"/>
    <hyperlink r:id="rId52" ref="C63"/>
    <hyperlink r:id="rId53" ref="C64"/>
    <hyperlink r:id="rId54" ref="C65"/>
    <hyperlink r:id="rId55" ref="C66"/>
    <hyperlink r:id="rId56" ref="C67"/>
    <hyperlink r:id="rId57" ref="C68"/>
    <hyperlink r:id="rId58" ref="C69"/>
    <hyperlink r:id="rId59" ref="C70"/>
    <hyperlink r:id="rId60" ref="C71"/>
    <hyperlink r:id="rId61" ref="C72"/>
    <hyperlink r:id="rId62" ref="C73"/>
    <hyperlink r:id="rId63" ref="C74"/>
    <hyperlink r:id="rId64" ref="C75"/>
    <hyperlink r:id="rId65" ref="C76"/>
    <hyperlink r:id="rId66" ref="C77"/>
    <hyperlink r:id="rId67" ref="C78"/>
    <hyperlink r:id="rId68" ref="C79"/>
    <hyperlink r:id="rId69" ref="C80"/>
  </hyperlinks>
  <drawing r:id="rId7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63"/>
    <col customWidth="1" min="2" max="3" width="18.88"/>
  </cols>
  <sheetData>
    <row r="1">
      <c r="C1" s="1"/>
    </row>
    <row r="2">
      <c r="B2" s="26" t="s">
        <v>0</v>
      </c>
      <c r="C2" s="3" t="s">
        <v>5</v>
      </c>
    </row>
    <row r="3">
      <c r="B3" s="6" t="s">
        <v>2010</v>
      </c>
      <c r="C3" s="32" t="s">
        <v>2011</v>
      </c>
    </row>
    <row r="4">
      <c r="B4" s="6" t="s">
        <v>2012</v>
      </c>
      <c r="C4" s="32" t="s">
        <v>2013</v>
      </c>
    </row>
    <row r="5">
      <c r="B5" s="6" t="s">
        <v>2014</v>
      </c>
      <c r="C5" s="32" t="s">
        <v>2015</v>
      </c>
    </row>
    <row r="6">
      <c r="B6" s="6" t="s">
        <v>1825</v>
      </c>
      <c r="C6" s="32" t="s">
        <v>2016</v>
      </c>
    </row>
    <row r="7">
      <c r="B7" s="6" t="s">
        <v>2017</v>
      </c>
      <c r="C7" s="32" t="s">
        <v>2018</v>
      </c>
    </row>
    <row r="8">
      <c r="B8" s="14" t="s">
        <v>2019</v>
      </c>
      <c r="C8" s="36" t="s">
        <v>2020</v>
      </c>
    </row>
    <row r="9">
      <c r="B9" s="6" t="s">
        <v>2021</v>
      </c>
      <c r="C9" s="11" t="s">
        <v>2022</v>
      </c>
    </row>
    <row r="10">
      <c r="B10" s="6" t="s">
        <v>2023</v>
      </c>
      <c r="C10" s="8" t="s">
        <v>2024</v>
      </c>
    </row>
    <row r="11">
      <c r="B11" s="6" t="s">
        <v>2025</v>
      </c>
      <c r="C11" s="8" t="s">
        <v>2026</v>
      </c>
    </row>
    <row r="12">
      <c r="B12" s="6" t="s">
        <v>2027</v>
      </c>
      <c r="C12" s="11" t="s">
        <v>2028</v>
      </c>
    </row>
    <row r="13">
      <c r="B13" s="6" t="s">
        <v>2029</v>
      </c>
      <c r="C13" s="8" t="s">
        <v>2030</v>
      </c>
    </row>
    <row r="14">
      <c r="B14" s="6" t="s">
        <v>2031</v>
      </c>
      <c r="C14" s="8" t="s">
        <v>2032</v>
      </c>
    </row>
    <row r="15">
      <c r="B15" s="6" t="s">
        <v>2033</v>
      </c>
      <c r="C15" s="8" t="s">
        <v>2034</v>
      </c>
    </row>
    <row r="16">
      <c r="B16" s="6" t="s">
        <v>2035</v>
      </c>
      <c r="C16" s="8" t="s">
        <v>2036</v>
      </c>
    </row>
    <row r="17">
      <c r="B17" s="6" t="s">
        <v>2037</v>
      </c>
      <c r="C17" s="11" t="s">
        <v>2038</v>
      </c>
    </row>
    <row r="18">
      <c r="B18" s="6" t="s">
        <v>2039</v>
      </c>
      <c r="C18" s="8" t="s">
        <v>2040</v>
      </c>
    </row>
    <row r="19">
      <c r="B19" s="6" t="s">
        <v>2041</v>
      </c>
      <c r="C19" s="8" t="s">
        <v>2042</v>
      </c>
    </row>
    <row r="20">
      <c r="B20" s="6" t="s">
        <v>2043</v>
      </c>
      <c r="C20" s="11" t="s">
        <v>2044</v>
      </c>
    </row>
    <row r="21">
      <c r="B21" s="6" t="s">
        <v>2045</v>
      </c>
      <c r="C21" s="11" t="s">
        <v>2046</v>
      </c>
    </row>
    <row r="22">
      <c r="B22" s="6" t="s">
        <v>2047</v>
      </c>
      <c r="C22" s="11" t="s">
        <v>2048</v>
      </c>
    </row>
    <row r="23">
      <c r="B23" s="6" t="s">
        <v>2049</v>
      </c>
      <c r="C23" s="8" t="s">
        <v>2050</v>
      </c>
    </row>
    <row r="24">
      <c r="B24" s="6" t="s">
        <v>2051</v>
      </c>
      <c r="C24" s="8" t="s">
        <v>2052</v>
      </c>
    </row>
    <row r="25">
      <c r="B25" s="6" t="s">
        <v>2053</v>
      </c>
      <c r="C25" s="8" t="s">
        <v>2054</v>
      </c>
    </row>
    <row r="26">
      <c r="B26" s="6" t="s">
        <v>2055</v>
      </c>
      <c r="C26" s="8" t="s">
        <v>2056</v>
      </c>
    </row>
    <row r="27">
      <c r="B27" s="6" t="s">
        <v>2057</v>
      </c>
      <c r="C27" s="8" t="s">
        <v>2058</v>
      </c>
    </row>
    <row r="28">
      <c r="B28" s="6" t="s">
        <v>2059</v>
      </c>
      <c r="C28" s="8" t="s">
        <v>2060</v>
      </c>
    </row>
    <row r="29">
      <c r="B29" s="6" t="s">
        <v>2061</v>
      </c>
      <c r="C29" s="8" t="s">
        <v>2062</v>
      </c>
    </row>
    <row r="30">
      <c r="B30" s="6" t="s">
        <v>2063</v>
      </c>
      <c r="C30" s="8" t="s">
        <v>2064</v>
      </c>
    </row>
    <row r="31">
      <c r="B31" s="6" t="s">
        <v>2065</v>
      </c>
      <c r="C31" s="8" t="s">
        <v>2066</v>
      </c>
    </row>
    <row r="32">
      <c r="B32" s="6" t="s">
        <v>2067</v>
      </c>
      <c r="C32" s="8" t="s">
        <v>2068</v>
      </c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6.38"/>
  </cols>
  <sheetData>
    <row r="1">
      <c r="D1" s="23" t="s">
        <v>1739</v>
      </c>
    </row>
    <row r="2">
      <c r="B2" s="24" t="s">
        <v>1740</v>
      </c>
      <c r="C2" s="24" t="s">
        <v>1741</v>
      </c>
      <c r="D2" s="24">
        <v>1.0</v>
      </c>
      <c r="E2" s="24">
        <v>0.0</v>
      </c>
      <c r="F2" s="24" t="s">
        <v>1742</v>
      </c>
      <c r="G2" s="24" t="s">
        <v>1743</v>
      </c>
    </row>
    <row r="3">
      <c r="B3" s="6" t="s">
        <v>76</v>
      </c>
      <c r="C3" s="25">
        <f>COUNTIF(Sources!T:T,B3)</f>
        <v>90</v>
      </c>
      <c r="D3" s="25">
        <f>COUNTIFS(Sources!$N:$N,D$2,Sources!$T:$T,$B3)</f>
        <v>37</v>
      </c>
      <c r="E3" s="25">
        <f>COUNTIFS(Sources!$N:$N,E$2,Sources!$T:$T,$B3)</f>
        <v>53</v>
      </c>
      <c r="F3" s="25">
        <f>COUNTIF('Wiki Categories'!B:B,B3)</f>
        <v>1</v>
      </c>
    </row>
    <row r="4">
      <c r="B4" s="6" t="s">
        <v>101</v>
      </c>
      <c r="C4" s="25">
        <f>COUNTIF(Sources!T:T,B4)</f>
        <v>56</v>
      </c>
      <c r="D4" s="25">
        <f>COUNTIFS(Sources!$N:$N,D$2,Sources!$T:$T,$B4)</f>
        <v>21</v>
      </c>
      <c r="E4" s="25">
        <f>COUNTIFS(Sources!$N:$N,E$2,Sources!$T:$T,$B4)</f>
        <v>35</v>
      </c>
      <c r="F4" s="25">
        <f>COUNTIF('Wiki Categories'!B:B,B4)</f>
        <v>1</v>
      </c>
    </row>
    <row r="5">
      <c r="B5" s="6" t="s">
        <v>56</v>
      </c>
      <c r="C5" s="25">
        <f>COUNTIF(Sources!T:T,B5)</f>
        <v>50</v>
      </c>
      <c r="D5" s="25">
        <f>COUNTIFS(Sources!$N:$N,D$2,Sources!$T:$T,$B5)</f>
        <v>4</v>
      </c>
      <c r="E5" s="25">
        <f>COUNTIFS(Sources!$N:$N,E$2,Sources!$T:$T,$B5)</f>
        <v>46</v>
      </c>
      <c r="F5" s="25">
        <f>COUNTIF('Wiki Categories'!B:B,B5)</f>
        <v>5</v>
      </c>
    </row>
    <row r="6">
      <c r="B6" s="6" t="s">
        <v>85</v>
      </c>
      <c r="C6" s="25">
        <f>COUNTIF(Sources!T:T,B6)</f>
        <v>38</v>
      </c>
      <c r="D6" s="25">
        <f>COUNTIFS(Sources!$N:$N,D$2,Sources!$T:$T,$B6)</f>
        <v>14</v>
      </c>
      <c r="E6" s="25">
        <f>COUNTIFS(Sources!$N:$N,E$2,Sources!$T:$T,$B6)</f>
        <v>24</v>
      </c>
      <c r="F6" s="25">
        <f>COUNTIF('Wiki Categories'!B:B,B6)</f>
        <v>2</v>
      </c>
    </row>
    <row r="7">
      <c r="B7" s="6" t="s">
        <v>248</v>
      </c>
      <c r="C7" s="25">
        <f>COUNTIF(Sources!T:T,B7)</f>
        <v>37</v>
      </c>
      <c r="D7" s="25">
        <f>COUNTIFS(Sources!$N:$N,D$2,Sources!$T:$T,$B7)</f>
        <v>12</v>
      </c>
      <c r="E7" s="25">
        <f>COUNTIFS(Sources!$N:$N,E$2,Sources!$T:$T,$B7)</f>
        <v>25</v>
      </c>
      <c r="F7" s="25">
        <f>COUNTIF('Wiki Categories'!B:B,B7)</f>
        <v>2</v>
      </c>
    </row>
    <row r="8">
      <c r="B8" s="6" t="s">
        <v>131</v>
      </c>
      <c r="C8" s="25">
        <f>COUNTIF(Sources!T:T,B8)</f>
        <v>38</v>
      </c>
      <c r="D8" s="25">
        <f>COUNTIFS(Sources!$N:$N,D$2,Sources!$T:$T,$B8)</f>
        <v>15</v>
      </c>
      <c r="E8" s="25">
        <f>COUNTIFS(Sources!$N:$N,E$2,Sources!$T:$T,$B8)</f>
        <v>23</v>
      </c>
      <c r="F8" s="25">
        <f>COUNTIF('Wiki Categories'!B:B,B8)</f>
        <v>1</v>
      </c>
    </row>
    <row r="9">
      <c r="B9" s="6" t="s">
        <v>67</v>
      </c>
      <c r="C9" s="25">
        <f>COUNTIF(Sources!T:T,B9)</f>
        <v>35</v>
      </c>
      <c r="D9" s="25">
        <f>COUNTIFS(Sources!$N:$N,D$2,Sources!$T:$T,$B9)</f>
        <v>10</v>
      </c>
      <c r="E9" s="25">
        <f>COUNTIFS(Sources!$N:$N,E$2,Sources!$T:$T,$B9)</f>
        <v>25</v>
      </c>
      <c r="F9" s="25">
        <f>COUNTIF('Wiki Categories'!B:B,B9)</f>
        <v>2</v>
      </c>
    </row>
    <row r="10">
      <c r="B10" s="6" t="s">
        <v>241</v>
      </c>
      <c r="C10" s="25">
        <f>COUNTIF(Sources!T:T,B10)</f>
        <v>31</v>
      </c>
      <c r="D10" s="25">
        <f>COUNTIFS(Sources!$N:$N,D$2,Sources!$T:$T,$B10)</f>
        <v>19</v>
      </c>
      <c r="E10" s="25">
        <f>COUNTIFS(Sources!$N:$N,E$2,Sources!$T:$T,$B10)</f>
        <v>12</v>
      </c>
      <c r="F10" s="25">
        <f>COUNTIF('Wiki Categories'!B:B,B10)</f>
        <v>1</v>
      </c>
    </row>
    <row r="11">
      <c r="B11" s="6" t="s">
        <v>48</v>
      </c>
      <c r="C11" s="25">
        <f>COUNTIF(Sources!T:T,B11)</f>
        <v>29</v>
      </c>
      <c r="D11" s="25">
        <f>COUNTIFS(Sources!$N:$N,D$2,Sources!$T:$T,$B11)</f>
        <v>9</v>
      </c>
      <c r="E11" s="25">
        <f>COUNTIFS(Sources!$N:$N,E$2,Sources!$T:$T,$B11)</f>
        <v>20</v>
      </c>
      <c r="F11" s="25">
        <f>COUNTIF('Wiki Categories'!B:B,B11)</f>
        <v>1</v>
      </c>
    </row>
    <row r="12">
      <c r="B12" s="6" t="s">
        <v>64</v>
      </c>
      <c r="C12" s="25">
        <f>COUNTIF(Sources!T:T,B12)</f>
        <v>28</v>
      </c>
      <c r="D12" s="25">
        <f>COUNTIFS(Sources!$N:$N,D$2,Sources!$T:$T,$B12)</f>
        <v>15</v>
      </c>
      <c r="E12" s="25">
        <f>COUNTIFS(Sources!$N:$N,E$2,Sources!$T:$T,$B12)</f>
        <v>13</v>
      </c>
      <c r="F12" s="25">
        <f>COUNTIF('Wiki Categories'!B:B,B12)</f>
        <v>1</v>
      </c>
    </row>
    <row r="13">
      <c r="B13" s="6" t="s">
        <v>61</v>
      </c>
      <c r="C13" s="25">
        <f>COUNTIF(Sources!T:T,B13)</f>
        <v>27</v>
      </c>
      <c r="D13" s="25">
        <f>COUNTIFS(Sources!$N:$N,D$2,Sources!$T:$T,$B13)</f>
        <v>10</v>
      </c>
      <c r="E13" s="25">
        <f>COUNTIFS(Sources!$N:$N,E$2,Sources!$T:$T,$B13)</f>
        <v>17</v>
      </c>
      <c r="F13" s="25">
        <f>COUNTIF('Wiki Categories'!B:B,B13)</f>
        <v>3</v>
      </c>
    </row>
    <row r="14">
      <c r="B14" s="6" t="s">
        <v>52</v>
      </c>
      <c r="C14" s="25">
        <f>COUNTIF(Sources!T:T,B14)</f>
        <v>25</v>
      </c>
      <c r="D14" s="25">
        <f>COUNTIFS(Sources!$N:$N,D$2,Sources!$T:$T,$B14)</f>
        <v>5</v>
      </c>
      <c r="E14" s="25">
        <f>COUNTIFS(Sources!$N:$N,E$2,Sources!$T:$T,$B14)</f>
        <v>20</v>
      </c>
      <c r="F14" s="25">
        <f>COUNTIF('Wiki Categories'!B:B,B14)</f>
        <v>1</v>
      </c>
    </row>
    <row r="15">
      <c r="B15" s="6" t="s">
        <v>28</v>
      </c>
      <c r="C15" s="25">
        <f>COUNTIF(Sources!T:T,B15)</f>
        <v>26</v>
      </c>
      <c r="D15" s="25">
        <f>COUNTIFS(Sources!$N:$N,D$2,Sources!$T:$T,$B15)</f>
        <v>7</v>
      </c>
      <c r="E15" s="25">
        <f>COUNTIFS(Sources!$N:$N,E$2,Sources!$T:$T,$B15)</f>
        <v>19</v>
      </c>
      <c r="F15" s="25">
        <f>COUNTIF('Wiki Categories'!B:B,B15)</f>
        <v>1</v>
      </c>
    </row>
    <row r="16">
      <c r="B16" s="6" t="s">
        <v>90</v>
      </c>
      <c r="C16" s="25">
        <f>COUNTIF(Sources!T:T,B16)</f>
        <v>23</v>
      </c>
      <c r="D16" s="25">
        <f>COUNTIFS(Sources!$N:$N,D$2,Sources!$T:$T,$B16)</f>
        <v>9</v>
      </c>
      <c r="E16" s="25">
        <f>COUNTIFS(Sources!$N:$N,E$2,Sources!$T:$T,$B16)</f>
        <v>14</v>
      </c>
      <c r="F16" s="25">
        <f>COUNTIF('Wiki Categories'!B:B,B16)</f>
        <v>1</v>
      </c>
    </row>
    <row r="17">
      <c r="B17" s="6" t="s">
        <v>145</v>
      </c>
      <c r="C17" s="25">
        <f>COUNTIF(Sources!T:T,B17)</f>
        <v>22</v>
      </c>
      <c r="D17" s="25">
        <f>COUNTIFS(Sources!$N:$N,D$2,Sources!$T:$T,$B17)</f>
        <v>3</v>
      </c>
      <c r="E17" s="25">
        <f>COUNTIFS(Sources!$N:$N,E$2,Sources!$T:$T,$B17)</f>
        <v>19</v>
      </c>
      <c r="F17" s="25">
        <f>COUNTIF('Wiki Categories'!B:B,B17)</f>
        <v>1</v>
      </c>
    </row>
    <row r="18">
      <c r="B18" s="6" t="s">
        <v>32</v>
      </c>
      <c r="C18" s="25">
        <f>COUNTIF(Sources!T:T,B18)</f>
        <v>21</v>
      </c>
      <c r="D18" s="25">
        <f>COUNTIFS(Sources!$N:$N,D$2,Sources!$T:$T,$B18)</f>
        <v>9</v>
      </c>
      <c r="E18" s="25">
        <f>COUNTIFS(Sources!$N:$N,E$2,Sources!$T:$T,$B18)</f>
        <v>12</v>
      </c>
      <c r="F18" s="25">
        <f>COUNTIF('Wiki Categories'!B:B,B18)</f>
        <v>1</v>
      </c>
    </row>
    <row r="19">
      <c r="B19" s="6" t="s">
        <v>70</v>
      </c>
      <c r="C19" s="25">
        <f>COUNTIF(Sources!T:T,B19)</f>
        <v>19</v>
      </c>
      <c r="D19" s="25">
        <f>COUNTIFS(Sources!$N:$N,D$2,Sources!$T:$T,$B19)</f>
        <v>0</v>
      </c>
      <c r="E19" s="25">
        <f>COUNTIFS(Sources!$N:$N,E$2,Sources!$T:$T,$B19)</f>
        <v>19</v>
      </c>
      <c r="F19" s="25">
        <f>COUNTIF('Wiki Categories'!B:B,B19)</f>
        <v>0</v>
      </c>
    </row>
    <row r="20">
      <c r="B20" s="6" t="s">
        <v>107</v>
      </c>
      <c r="C20" s="25">
        <f>COUNTIF(Sources!T:T,B20)</f>
        <v>15</v>
      </c>
      <c r="D20" s="25">
        <f>COUNTIFS(Sources!$N:$N,D$2,Sources!$T:$T,$B20)</f>
        <v>4</v>
      </c>
      <c r="E20" s="25">
        <f>COUNTIFS(Sources!$N:$N,E$2,Sources!$T:$T,$B20)</f>
        <v>11</v>
      </c>
      <c r="F20" s="25">
        <f>COUNTIF('Wiki Categories'!B:B,B20)</f>
        <v>1</v>
      </c>
    </row>
    <row r="21">
      <c r="B21" s="6" t="s">
        <v>329</v>
      </c>
      <c r="C21" s="25">
        <f>COUNTIF(Sources!T:T,B21)</f>
        <v>14</v>
      </c>
      <c r="D21" s="25">
        <f>COUNTIFS(Sources!$N:$N,D$2,Sources!$T:$T,$B21)</f>
        <v>7</v>
      </c>
      <c r="E21" s="25">
        <f>COUNTIFS(Sources!$N:$N,E$2,Sources!$T:$T,$B21)</f>
        <v>7</v>
      </c>
      <c r="F21" s="25">
        <f>COUNTIF('Wiki Categories'!B:B,B21)</f>
        <v>2</v>
      </c>
    </row>
    <row r="22">
      <c r="B22" s="6" t="s">
        <v>300</v>
      </c>
      <c r="C22" s="25">
        <f>COUNTIF(Sources!T:T,B22)</f>
        <v>14</v>
      </c>
      <c r="D22" s="25">
        <f>COUNTIFS(Sources!$N:$N,D$2,Sources!$T:$T,$B22)</f>
        <v>2</v>
      </c>
      <c r="E22" s="25">
        <f>COUNTIFS(Sources!$N:$N,E$2,Sources!$T:$T,$B22)</f>
        <v>12</v>
      </c>
      <c r="F22" s="25">
        <f>COUNTIF('Wiki Categories'!B:B,B22)</f>
        <v>1</v>
      </c>
    </row>
    <row r="23">
      <c r="B23" s="6" t="s">
        <v>44</v>
      </c>
      <c r="C23" s="25">
        <f>COUNTIF(Sources!T:T,B23)</f>
        <v>14</v>
      </c>
      <c r="D23" s="25">
        <f>COUNTIFS(Sources!$N:$N,D$2,Sources!$T:$T,$B23)</f>
        <v>3</v>
      </c>
      <c r="E23" s="25">
        <f>COUNTIFS(Sources!$N:$N,E$2,Sources!$T:$T,$B23)</f>
        <v>11</v>
      </c>
      <c r="F23" s="25">
        <f>COUNTIF('Wiki Categories'!B:B,B23)</f>
        <v>1</v>
      </c>
    </row>
    <row r="24">
      <c r="B24" s="6" t="s">
        <v>128</v>
      </c>
      <c r="C24" s="25">
        <f>COUNTIF(Sources!T:T,B24)</f>
        <v>13</v>
      </c>
      <c r="D24" s="25">
        <f>COUNTIFS(Sources!$N:$N,D$2,Sources!$T:$T,$B24)</f>
        <v>2</v>
      </c>
      <c r="E24" s="25">
        <f>COUNTIFS(Sources!$N:$N,E$2,Sources!$T:$T,$B24)</f>
        <v>11</v>
      </c>
      <c r="F24" s="25">
        <f>COUNTIF('Wiki Categories'!B:B,B24)</f>
        <v>1</v>
      </c>
    </row>
    <row r="25">
      <c r="B25" s="6" t="s">
        <v>187</v>
      </c>
      <c r="C25" s="25">
        <f>COUNTIF(Sources!T:T,B25)</f>
        <v>12</v>
      </c>
      <c r="D25" s="25">
        <f>COUNTIFS(Sources!$N:$N,D$2,Sources!$T:$T,$B25)</f>
        <v>6</v>
      </c>
      <c r="E25" s="25">
        <f>COUNTIFS(Sources!$N:$N,E$2,Sources!$T:$T,$B25)</f>
        <v>6</v>
      </c>
      <c r="F25" s="25">
        <f>COUNTIF('Wiki Categories'!B:B,B25)</f>
        <v>1</v>
      </c>
    </row>
    <row r="26">
      <c r="B26" s="6" t="s">
        <v>285</v>
      </c>
      <c r="C26" s="25">
        <f>COUNTIF(Sources!T:T,B26)</f>
        <v>11</v>
      </c>
      <c r="D26" s="25">
        <f>COUNTIFS(Sources!$N:$N,D$2,Sources!$T:$T,$B26)</f>
        <v>9</v>
      </c>
      <c r="E26" s="25">
        <f>COUNTIFS(Sources!$N:$N,E$2,Sources!$T:$T,$B26)</f>
        <v>2</v>
      </c>
      <c r="F26" s="25">
        <f>COUNTIF('Wiki Categories'!B:B,B26)</f>
        <v>2</v>
      </c>
    </row>
    <row r="27">
      <c r="B27" s="6" t="s">
        <v>333</v>
      </c>
      <c r="C27" s="25">
        <f>COUNTIF(Sources!T:T,B27)</f>
        <v>10</v>
      </c>
      <c r="D27" s="25">
        <f>COUNTIFS(Sources!$N:$N,D$2,Sources!$T:$T,$B27)</f>
        <v>3</v>
      </c>
      <c r="E27" s="25">
        <f>COUNTIFS(Sources!$N:$N,E$2,Sources!$T:$T,$B27)</f>
        <v>7</v>
      </c>
      <c r="F27" s="25">
        <f>COUNTIF('Wiki Categories'!B:B,B27)</f>
        <v>1</v>
      </c>
    </row>
    <row r="28">
      <c r="B28" s="6" t="s">
        <v>223</v>
      </c>
      <c r="C28" s="25">
        <f>COUNTIF(Sources!T:T,B28)</f>
        <v>10</v>
      </c>
      <c r="D28" s="25">
        <f>COUNTIFS(Sources!$N:$N,D$2,Sources!$T:$T,$B28)</f>
        <v>4</v>
      </c>
      <c r="E28" s="25">
        <f>COUNTIFS(Sources!$N:$N,E$2,Sources!$T:$T,$B28)</f>
        <v>6</v>
      </c>
      <c r="F28" s="25">
        <f>COUNTIF('Wiki Categories'!B:B,B28)</f>
        <v>0</v>
      </c>
    </row>
    <row r="29">
      <c r="B29" s="6" t="s">
        <v>73</v>
      </c>
      <c r="C29" s="25">
        <f>COUNTIF(Sources!T:T,B29)</f>
        <v>11</v>
      </c>
      <c r="D29" s="25">
        <f>COUNTIFS(Sources!$N:$N,D$2,Sources!$T:$T,$B29)</f>
        <v>1</v>
      </c>
      <c r="E29" s="25">
        <f>COUNTIFS(Sources!$N:$N,E$2,Sources!$T:$T,$B29)</f>
        <v>10</v>
      </c>
      <c r="F29" s="25">
        <f>COUNTIF('Wiki Categories'!B:B,B29)</f>
        <v>1</v>
      </c>
    </row>
    <row r="30">
      <c r="B30" s="6" t="s">
        <v>40</v>
      </c>
      <c r="C30" s="25">
        <f>COUNTIF(Sources!T:T,B30)</f>
        <v>10</v>
      </c>
      <c r="D30" s="25">
        <f>COUNTIFS(Sources!$N:$N,D$2,Sources!$T:$T,$B30)</f>
        <v>1</v>
      </c>
      <c r="E30" s="25">
        <f>COUNTIFS(Sources!$N:$N,E$2,Sources!$T:$T,$B30)</f>
        <v>9</v>
      </c>
      <c r="F30" s="25">
        <f>COUNTIF('Wiki Categories'!B:B,B30)</f>
        <v>1</v>
      </c>
    </row>
    <row r="31">
      <c r="B31" s="6" t="s">
        <v>374</v>
      </c>
      <c r="C31" s="25">
        <f>COUNTIF(Sources!T:T,B31)</f>
        <v>8</v>
      </c>
      <c r="D31" s="25">
        <f>COUNTIFS(Sources!$N:$N,D$2,Sources!$T:$T,$B31)</f>
        <v>7</v>
      </c>
      <c r="E31" s="25">
        <f>COUNTIFS(Sources!$N:$N,E$2,Sources!$T:$T,$B31)</f>
        <v>1</v>
      </c>
      <c r="F31" s="25">
        <f>COUNTIF('Wiki Categories'!B:B,B31)</f>
        <v>1</v>
      </c>
    </row>
    <row r="32">
      <c r="B32" s="6" t="s">
        <v>245</v>
      </c>
      <c r="C32" s="25">
        <f>COUNTIF(Sources!T:T,B32)</f>
        <v>7</v>
      </c>
      <c r="D32" s="25">
        <f>COUNTIFS(Sources!$N:$N,D$2,Sources!$T:$T,$B32)</f>
        <v>4</v>
      </c>
      <c r="E32" s="25">
        <f>COUNTIFS(Sources!$N:$N,E$2,Sources!$T:$T,$B32)</f>
        <v>3</v>
      </c>
      <c r="F32" s="25">
        <f>COUNTIF('Wiki Categories'!B:B,B32)</f>
        <v>2</v>
      </c>
    </row>
    <row r="33">
      <c r="B33" s="6" t="s">
        <v>104</v>
      </c>
      <c r="C33" s="25">
        <f>COUNTIF(Sources!T:T,B33)</f>
        <v>4</v>
      </c>
      <c r="D33" s="25">
        <f>COUNTIFS(Sources!$N:$N,D$2,Sources!$T:$T,$B33)</f>
        <v>0</v>
      </c>
      <c r="E33" s="25">
        <f>COUNTIFS(Sources!$N:$N,E$2,Sources!$T:$T,$B33)</f>
        <v>4</v>
      </c>
      <c r="F33" s="25">
        <f>COUNTIF('Wiki Categories'!B:B,B33)</f>
        <v>1</v>
      </c>
    </row>
  </sheetData>
  <autoFilter ref="$B$2:$G$654">
    <sortState ref="B2:G654">
      <sortCondition descending="1" ref="C2:C654"/>
      <sortCondition ref="F2:F654"/>
      <sortCondition ref="B2:B654"/>
    </sortState>
  </autoFilter>
  <mergeCells count="1">
    <mergeCell ref="D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2.63" defaultRowHeight="15.75"/>
  <sheetData>
    <row r="2">
      <c r="B2" s="26" t="s">
        <v>1744</v>
      </c>
      <c r="C2" s="26" t="s">
        <v>1745</v>
      </c>
      <c r="D2" s="26" t="s">
        <v>1746</v>
      </c>
    </row>
    <row r="3">
      <c r="B3" s="27" t="s">
        <v>20</v>
      </c>
      <c r="C3" s="25">
        <f>COUNTIFS(Sources!D:D,B3)</f>
        <v>319</v>
      </c>
      <c r="D3" s="28">
        <f t="shared" ref="D3:D6" si="1">C3/$C$8</f>
        <v>0.4214002642</v>
      </c>
    </row>
    <row r="4">
      <c r="B4" s="27" t="s">
        <v>30</v>
      </c>
      <c r="C4" s="25">
        <f>COUNTIFS(Sources!D:D,B4)</f>
        <v>319</v>
      </c>
      <c r="D4" s="28">
        <f t="shared" si="1"/>
        <v>0.4214002642</v>
      </c>
    </row>
    <row r="5">
      <c r="B5" s="27" t="s">
        <v>50</v>
      </c>
      <c r="C5" s="25">
        <f>COUNTIFS(Sources!D:D,B5)</f>
        <v>119</v>
      </c>
      <c r="D5" s="28">
        <f t="shared" si="1"/>
        <v>0.1571994716</v>
      </c>
    </row>
    <row r="6">
      <c r="B6" s="27" t="s">
        <v>1747</v>
      </c>
      <c r="C6" s="25">
        <f>COUNTIFS(Sources!D:D,B6)</f>
        <v>0</v>
      </c>
      <c r="D6" s="28">
        <f t="shared" si="1"/>
        <v>0</v>
      </c>
    </row>
    <row r="8">
      <c r="B8" s="6" t="s">
        <v>1748</v>
      </c>
      <c r="C8" s="25">
        <f>SUM(C3:C6)</f>
        <v>757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sheetData>
    <row r="2">
      <c r="B2" s="24" t="s">
        <v>1740</v>
      </c>
      <c r="C2" s="24" t="s">
        <v>1749</v>
      </c>
      <c r="D2" s="24" t="s">
        <v>1750</v>
      </c>
    </row>
    <row r="3">
      <c r="B3" s="6" t="s">
        <v>1751</v>
      </c>
    </row>
    <row r="4">
      <c r="B4" s="6" t="s">
        <v>1752</v>
      </c>
    </row>
    <row r="5">
      <c r="B5" s="6" t="s">
        <v>1753</v>
      </c>
    </row>
    <row r="6">
      <c r="B6" s="6" t="s">
        <v>1754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5"/>
    <col customWidth="1" min="2" max="4" width="25.13"/>
  </cols>
  <sheetData>
    <row r="1">
      <c r="A1" s="8" t="s">
        <v>1755</v>
      </c>
      <c r="D1" s="1"/>
    </row>
    <row r="2">
      <c r="B2" s="24" t="s">
        <v>1740</v>
      </c>
      <c r="C2" s="24" t="s">
        <v>1742</v>
      </c>
      <c r="D2" s="29" t="s">
        <v>5</v>
      </c>
    </row>
    <row r="3">
      <c r="B3" s="6" t="s">
        <v>61</v>
      </c>
      <c r="C3" s="6" t="str">
        <f t="shared" ref="C3:C45" si="1">RIGHT(D3,LEN(D3)-SEARCH("Category:",D3)-8)</f>
        <v>Architecture</v>
      </c>
      <c r="D3" s="8" t="s">
        <v>1756</v>
      </c>
    </row>
    <row r="4">
      <c r="B4" s="6" t="s">
        <v>61</v>
      </c>
      <c r="C4" s="6" t="str">
        <f t="shared" si="1"/>
        <v>Architectural_design</v>
      </c>
      <c r="D4" s="8" t="s">
        <v>1757</v>
      </c>
    </row>
    <row r="5">
      <c r="B5" s="6" t="s">
        <v>61</v>
      </c>
      <c r="C5" s="6" t="str">
        <f t="shared" si="1"/>
        <v>Museum_design</v>
      </c>
      <c r="D5" s="8" t="s">
        <v>1758</v>
      </c>
    </row>
    <row r="6">
      <c r="B6" s="6" t="s">
        <v>67</v>
      </c>
      <c r="C6" s="6" t="str">
        <f t="shared" si="1"/>
        <v>The_arts</v>
      </c>
      <c r="D6" s="8" t="s">
        <v>1759</v>
      </c>
    </row>
    <row r="7">
      <c r="B7" s="6" t="s">
        <v>67</v>
      </c>
      <c r="C7" s="6" t="str">
        <f t="shared" si="1"/>
        <v>Art_history</v>
      </c>
      <c r="D7" s="8" t="s">
        <v>1760</v>
      </c>
    </row>
    <row r="8">
      <c r="B8" s="6" t="s">
        <v>48</v>
      </c>
      <c r="C8" s="6" t="str">
        <f t="shared" si="1"/>
        <v>Business</v>
      </c>
      <c r="D8" s="8" t="s">
        <v>1761</v>
      </c>
    </row>
    <row r="9">
      <c r="B9" s="6" t="s">
        <v>245</v>
      </c>
      <c r="C9" s="6" t="str">
        <f t="shared" si="1"/>
        <v>Cryptocurrencies</v>
      </c>
      <c r="D9" s="8" t="s">
        <v>1762</v>
      </c>
    </row>
    <row r="10">
      <c r="B10" s="6" t="s">
        <v>245</v>
      </c>
      <c r="C10" s="6" t="str">
        <f t="shared" si="1"/>
        <v>Blockchains</v>
      </c>
      <c r="D10" s="8" t="s">
        <v>1763</v>
      </c>
    </row>
    <row r="11">
      <c r="B11" s="6" t="s">
        <v>52</v>
      </c>
      <c r="C11" s="6" t="str">
        <f t="shared" si="1"/>
        <v>Design</v>
      </c>
      <c r="D11" s="8" t="s">
        <v>1764</v>
      </c>
    </row>
    <row r="12">
      <c r="B12" s="6" t="s">
        <v>85</v>
      </c>
      <c r="C12" s="6" t="str">
        <f t="shared" si="1"/>
        <v>Environments</v>
      </c>
      <c r="D12" s="8" t="s">
        <v>1765</v>
      </c>
    </row>
    <row r="13">
      <c r="B13" s="6" t="s">
        <v>85</v>
      </c>
      <c r="C13" s="6" t="str">
        <f t="shared" si="1"/>
        <v>Global_environmental_issues</v>
      </c>
      <c r="D13" s="8" t="s">
        <v>1766</v>
      </c>
    </row>
    <row r="14">
      <c r="B14" s="6" t="s">
        <v>285</v>
      </c>
      <c r="C14" s="6" t="str">
        <f t="shared" si="1"/>
        <v>Clothing</v>
      </c>
      <c r="D14" s="8" t="s">
        <v>1767</v>
      </c>
    </row>
    <row r="15">
      <c r="B15" s="6" t="s">
        <v>285</v>
      </c>
      <c r="C15" s="6" t="str">
        <f t="shared" si="1"/>
        <v>Fashion</v>
      </c>
      <c r="D15" s="8" t="s">
        <v>1768</v>
      </c>
    </row>
    <row r="16">
      <c r="B16" s="6" t="s">
        <v>90</v>
      </c>
      <c r="C16" s="6" t="str">
        <f t="shared" si="1"/>
        <v>Film</v>
      </c>
      <c r="D16" s="8" t="s">
        <v>1769</v>
      </c>
    </row>
    <row r="17">
      <c r="B17" s="6" t="s">
        <v>248</v>
      </c>
      <c r="C17" s="6" t="str">
        <f t="shared" si="1"/>
        <v>Economy</v>
      </c>
      <c r="D17" s="8" t="s">
        <v>1770</v>
      </c>
    </row>
    <row r="18">
      <c r="B18" s="6" t="s">
        <v>248</v>
      </c>
      <c r="C18" s="6" t="str">
        <f t="shared" si="1"/>
        <v>International_taxation</v>
      </c>
      <c r="D18" s="8" t="s">
        <v>1771</v>
      </c>
    </row>
    <row r="19">
      <c r="B19" s="6" t="s">
        <v>44</v>
      </c>
      <c r="C19" s="6" t="str">
        <f t="shared" si="1"/>
        <v>Food_and_drink</v>
      </c>
      <c r="D19" s="8" t="s">
        <v>1772</v>
      </c>
    </row>
    <row r="20">
      <c r="B20" s="6" t="s">
        <v>187</v>
      </c>
      <c r="C20" s="6" t="str">
        <f t="shared" si="1"/>
        <v>Gaming</v>
      </c>
      <c r="D20" s="8" t="s">
        <v>1773</v>
      </c>
    </row>
    <row r="21">
      <c r="B21" s="6" t="s">
        <v>56</v>
      </c>
      <c r="C21" s="6" t="str">
        <f t="shared" si="1"/>
        <v>History</v>
      </c>
      <c r="D21" s="8" t="s">
        <v>1774</v>
      </c>
    </row>
    <row r="22">
      <c r="B22" s="6" t="s">
        <v>56</v>
      </c>
      <c r="C22" s="6" t="str">
        <f t="shared" si="1"/>
        <v>Geography</v>
      </c>
      <c r="D22" s="8" t="s">
        <v>1775</v>
      </c>
    </row>
    <row r="23">
      <c r="B23" s="6" t="s">
        <v>56</v>
      </c>
      <c r="C23" s="6" t="str">
        <f t="shared" si="1"/>
        <v>Politics</v>
      </c>
      <c r="D23" s="8" t="s">
        <v>1776</v>
      </c>
    </row>
    <row r="24">
      <c r="B24" s="6" t="s">
        <v>56</v>
      </c>
      <c r="C24" s="6" t="str">
        <f t="shared" si="1"/>
        <v>Government</v>
      </c>
      <c r="D24" s="8" t="s">
        <v>1777</v>
      </c>
    </row>
    <row r="25">
      <c r="B25" s="6" t="s">
        <v>56</v>
      </c>
      <c r="C25" s="6" t="str">
        <f t="shared" si="1"/>
        <v>Culture</v>
      </c>
      <c r="D25" s="8" t="s">
        <v>1778</v>
      </c>
    </row>
    <row r="26">
      <c r="B26" s="6" t="s">
        <v>104</v>
      </c>
      <c r="C26" s="6" t="str">
        <f t="shared" si="1"/>
        <v>Language</v>
      </c>
      <c r="D26" s="8" t="s">
        <v>1779</v>
      </c>
    </row>
    <row r="27">
      <c r="B27" s="6" t="s">
        <v>101</v>
      </c>
      <c r="C27" s="6" t="str">
        <f t="shared" si="1"/>
        <v>Health</v>
      </c>
      <c r="D27" s="8" t="s">
        <v>1780</v>
      </c>
    </row>
    <row r="28">
      <c r="B28" s="6" t="s">
        <v>32</v>
      </c>
      <c r="C28" s="6" t="str">
        <f t="shared" si="1"/>
        <v>Music</v>
      </c>
      <c r="D28" s="11" t="s">
        <v>1781</v>
      </c>
    </row>
    <row r="29">
      <c r="B29" s="6" t="s">
        <v>64</v>
      </c>
      <c r="C29" s="6" t="str">
        <f t="shared" si="1"/>
        <v>Universe</v>
      </c>
      <c r="D29" s="8" t="s">
        <v>1782</v>
      </c>
    </row>
    <row r="30">
      <c r="B30" s="6" t="s">
        <v>76</v>
      </c>
      <c r="C30" s="6" t="str">
        <f t="shared" si="1"/>
        <v>Technology</v>
      </c>
      <c r="D30" s="8" t="s">
        <v>1783</v>
      </c>
    </row>
    <row r="31">
      <c r="B31" s="6" t="s">
        <v>1784</v>
      </c>
      <c r="C31" s="6" t="str">
        <f t="shared" si="1"/>
        <v>Global_politics</v>
      </c>
      <c r="D31" s="8" t="s">
        <v>1785</v>
      </c>
    </row>
    <row r="32">
      <c r="B32" s="6" t="s">
        <v>333</v>
      </c>
      <c r="C32" s="6" t="str">
        <f t="shared" si="1"/>
        <v>Photography</v>
      </c>
      <c r="D32" s="8" t="s">
        <v>1786</v>
      </c>
    </row>
    <row r="33">
      <c r="B33" s="6" t="s">
        <v>131</v>
      </c>
      <c r="C33" s="6" t="str">
        <f t="shared" si="1"/>
        <v>Science</v>
      </c>
      <c r="D33" s="8" t="s">
        <v>1787</v>
      </c>
    </row>
    <row r="34">
      <c r="B34" s="6" t="s">
        <v>128</v>
      </c>
      <c r="C34" s="6" t="str">
        <f t="shared" si="1"/>
        <v>Psychology</v>
      </c>
      <c r="D34" s="8" t="s">
        <v>1788</v>
      </c>
    </row>
    <row r="35">
      <c r="B35" s="6" t="s">
        <v>28</v>
      </c>
      <c r="C35" s="6" t="str">
        <f t="shared" si="1"/>
        <v>Philosophy</v>
      </c>
      <c r="D35" s="8" t="s">
        <v>1789</v>
      </c>
    </row>
    <row r="36">
      <c r="B36" s="6" t="s">
        <v>300</v>
      </c>
      <c r="C36" s="6" t="str">
        <f t="shared" si="1"/>
        <v>Statistics</v>
      </c>
      <c r="D36" s="8" t="s">
        <v>1790</v>
      </c>
    </row>
    <row r="37">
      <c r="B37" s="6" t="s">
        <v>1791</v>
      </c>
      <c r="C37" s="6" t="str">
        <f t="shared" si="1"/>
        <v>Software_engineering</v>
      </c>
      <c r="D37" s="8" t="s">
        <v>1792</v>
      </c>
    </row>
    <row r="38">
      <c r="B38" s="6" t="s">
        <v>374</v>
      </c>
      <c r="C38" s="6" t="str">
        <f t="shared" si="1"/>
        <v>Cars</v>
      </c>
      <c r="D38" s="8" t="s">
        <v>1793</v>
      </c>
    </row>
    <row r="39">
      <c r="B39" s="6" t="s">
        <v>329</v>
      </c>
      <c r="C39" s="6" t="str">
        <f t="shared" si="1"/>
        <v>Marketing</v>
      </c>
      <c r="D39" s="8" t="s">
        <v>1794</v>
      </c>
    </row>
    <row r="40">
      <c r="B40" s="6" t="s">
        <v>329</v>
      </c>
      <c r="C40" s="6" t="str">
        <f t="shared" si="1"/>
        <v>Advertising</v>
      </c>
      <c r="D40" s="8" t="s">
        <v>1795</v>
      </c>
    </row>
    <row r="41">
      <c r="B41" s="6" t="s">
        <v>40</v>
      </c>
      <c r="C41" s="6" t="str">
        <f t="shared" si="1"/>
        <v>User_interfaces</v>
      </c>
      <c r="D41" s="8" t="s">
        <v>1796</v>
      </c>
    </row>
    <row r="42">
      <c r="B42" s="6" t="s">
        <v>241</v>
      </c>
      <c r="C42" s="6" t="str">
        <f t="shared" si="1"/>
        <v>World</v>
      </c>
      <c r="D42" s="8" t="s">
        <v>1797</v>
      </c>
    </row>
    <row r="43">
      <c r="B43" s="6" t="s">
        <v>145</v>
      </c>
      <c r="C43" s="6" t="str">
        <f t="shared" si="1"/>
        <v>Computer_science</v>
      </c>
      <c r="D43" s="8" t="s">
        <v>1798</v>
      </c>
    </row>
    <row r="44">
      <c r="B44" s="6" t="s">
        <v>107</v>
      </c>
      <c r="C44" s="6" t="str">
        <f t="shared" si="1"/>
        <v>Literature</v>
      </c>
      <c r="D44" s="8" t="s">
        <v>1799</v>
      </c>
    </row>
    <row r="45">
      <c r="B45" s="6" t="s">
        <v>73</v>
      </c>
      <c r="C45" s="6" t="str">
        <f t="shared" si="1"/>
        <v>Biology</v>
      </c>
      <c r="D45" s="8" t="s">
        <v>1800</v>
      </c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</sheetData>
  <autoFilter ref="$B$2:$D$45">
    <sortState ref="B2:D45">
      <sortCondition ref="B2:B45"/>
    </sortState>
  </autoFilter>
  <hyperlinks>
    <hyperlink r:id="rId1" ref="A1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</hyperlinks>
  <drawing r:id="rId4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3" width="18.88"/>
  </cols>
  <sheetData>
    <row r="2">
      <c r="B2" s="26" t="s">
        <v>0</v>
      </c>
      <c r="C2" s="3" t="s">
        <v>5</v>
      </c>
    </row>
    <row r="3">
      <c r="B3" s="6" t="s">
        <v>1801</v>
      </c>
      <c r="C3" s="9" t="s">
        <v>1802</v>
      </c>
    </row>
    <row r="4">
      <c r="C4" s="12"/>
    </row>
    <row r="5">
      <c r="C5" s="7"/>
    </row>
    <row r="6">
      <c r="C6" s="7"/>
    </row>
    <row r="11">
      <c r="C11" s="7"/>
    </row>
    <row r="12">
      <c r="C12" s="7"/>
    </row>
    <row r="17">
      <c r="B17" s="10"/>
    </row>
    <row r="20">
      <c r="C20" s="7"/>
      <c r="D20" s="1"/>
      <c r="J20" s="30"/>
    </row>
    <row r="21">
      <c r="C21" s="7"/>
      <c r="D21" s="10"/>
      <c r="F21" s="7"/>
      <c r="J21" s="30"/>
    </row>
    <row r="22">
      <c r="C22" s="7"/>
      <c r="D22" s="10"/>
      <c r="E22" s="10"/>
      <c r="F22" s="10"/>
      <c r="H22" s="7"/>
      <c r="L22" s="30"/>
    </row>
    <row r="23">
      <c r="C23" s="7"/>
    </row>
    <row r="24">
      <c r="C24" s="12"/>
    </row>
    <row r="25">
      <c r="C25" s="7"/>
    </row>
    <row r="26">
      <c r="C26" s="12"/>
    </row>
    <row r="27">
      <c r="C27" s="7"/>
    </row>
    <row r="28">
      <c r="C28" s="7"/>
    </row>
    <row r="29">
      <c r="C29" s="7"/>
    </row>
  </sheetData>
  <hyperlinks>
    <hyperlink r:id="rId1" ref="C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3" width="18.88"/>
    <col customWidth="1" min="4" max="4" width="25.5"/>
    <col customWidth="1" min="5" max="5" width="25.88"/>
  </cols>
  <sheetData>
    <row r="1">
      <c r="D1" s="31"/>
      <c r="E1" s="31"/>
    </row>
    <row r="2">
      <c r="B2" s="26" t="s">
        <v>0</v>
      </c>
      <c r="C2" s="3" t="s">
        <v>5</v>
      </c>
      <c r="D2" s="2" t="s">
        <v>15</v>
      </c>
      <c r="E2" s="2" t="s">
        <v>1803</v>
      </c>
    </row>
    <row r="3">
      <c r="B3" s="6" t="s">
        <v>1804</v>
      </c>
      <c r="C3" s="32" t="s">
        <v>1805</v>
      </c>
      <c r="D3" s="33" t="s">
        <v>1806</v>
      </c>
      <c r="E3" s="31"/>
    </row>
    <row r="4">
      <c r="B4" s="6" t="s">
        <v>1807</v>
      </c>
      <c r="C4" s="8" t="s">
        <v>1805</v>
      </c>
      <c r="D4" s="33" t="s">
        <v>1808</v>
      </c>
      <c r="E4" s="31"/>
    </row>
    <row r="5">
      <c r="B5" s="6" t="s">
        <v>1809</v>
      </c>
      <c r="C5" s="8" t="s">
        <v>1810</v>
      </c>
      <c r="D5" s="33" t="s">
        <v>1811</v>
      </c>
      <c r="E5" s="33" t="s">
        <v>1812</v>
      </c>
    </row>
    <row r="6">
      <c r="B6" s="6" t="s">
        <v>1813</v>
      </c>
      <c r="C6" s="8" t="s">
        <v>1814</v>
      </c>
      <c r="D6" s="33" t="s">
        <v>1815</v>
      </c>
      <c r="E6" s="31"/>
    </row>
    <row r="7">
      <c r="D7" s="31"/>
      <c r="E7" s="31"/>
    </row>
    <row r="8">
      <c r="D8" s="31"/>
      <c r="E8" s="31"/>
    </row>
    <row r="9">
      <c r="D9" s="31"/>
      <c r="E9" s="31"/>
    </row>
    <row r="10">
      <c r="D10" s="31"/>
      <c r="E10" s="31"/>
    </row>
    <row r="11">
      <c r="C11" s="7"/>
      <c r="D11" s="31"/>
      <c r="E11" s="31"/>
    </row>
    <row r="12">
      <c r="C12" s="7"/>
      <c r="D12" s="31"/>
      <c r="E12" s="31"/>
    </row>
    <row r="13">
      <c r="D13" s="31"/>
      <c r="E13" s="31"/>
    </row>
    <row r="14">
      <c r="D14" s="31"/>
      <c r="E14" s="31"/>
    </row>
    <row r="15">
      <c r="D15" s="31"/>
      <c r="E15" s="31"/>
    </row>
    <row r="16">
      <c r="D16" s="31"/>
      <c r="E16" s="31"/>
    </row>
    <row r="17">
      <c r="B17" s="10"/>
      <c r="D17" s="31"/>
      <c r="E17" s="31"/>
    </row>
    <row r="18">
      <c r="D18" s="31"/>
      <c r="E18" s="31"/>
    </row>
    <row r="19">
      <c r="D19" s="31"/>
      <c r="E19" s="31"/>
    </row>
    <row r="20">
      <c r="C20" s="7"/>
      <c r="D20" s="31"/>
      <c r="E20" s="31"/>
      <c r="J20" s="30"/>
    </row>
    <row r="21">
      <c r="C21" s="7"/>
      <c r="D21" s="34"/>
      <c r="E21" s="31"/>
      <c r="F21" s="7"/>
      <c r="J21" s="30"/>
    </row>
    <row r="22">
      <c r="C22" s="7"/>
      <c r="D22" s="34"/>
      <c r="E22" s="34"/>
      <c r="F22" s="10"/>
      <c r="H22" s="7"/>
      <c r="L22" s="30"/>
    </row>
    <row r="23">
      <c r="C23" s="7"/>
      <c r="D23" s="31"/>
      <c r="E23" s="31"/>
    </row>
    <row r="24">
      <c r="C24" s="12"/>
      <c r="D24" s="31"/>
      <c r="E24" s="31"/>
    </row>
    <row r="25">
      <c r="C25" s="7"/>
      <c r="D25" s="31"/>
      <c r="E25" s="31"/>
    </row>
    <row r="26">
      <c r="C26" s="12"/>
      <c r="D26" s="31"/>
      <c r="E26" s="31"/>
    </row>
    <row r="27">
      <c r="C27" s="7"/>
      <c r="D27" s="31"/>
      <c r="E27" s="31"/>
    </row>
    <row r="28">
      <c r="C28" s="7"/>
      <c r="D28" s="31"/>
      <c r="E28" s="31"/>
    </row>
    <row r="29">
      <c r="C29" s="7"/>
      <c r="D29" s="31"/>
      <c r="E29" s="31"/>
    </row>
    <row r="30">
      <c r="D30" s="31"/>
      <c r="E30" s="31"/>
    </row>
    <row r="31">
      <c r="D31" s="31"/>
      <c r="E31" s="31"/>
    </row>
    <row r="32">
      <c r="D32" s="31"/>
      <c r="E32" s="31"/>
    </row>
    <row r="33">
      <c r="D33" s="31"/>
      <c r="E33" s="31"/>
    </row>
    <row r="34">
      <c r="D34" s="31"/>
      <c r="E34" s="31"/>
    </row>
    <row r="35">
      <c r="D35" s="31"/>
      <c r="E35" s="31"/>
    </row>
    <row r="36">
      <c r="D36" s="31"/>
      <c r="E36" s="31"/>
    </row>
    <row r="37">
      <c r="D37" s="31"/>
      <c r="E37" s="31"/>
    </row>
    <row r="38">
      <c r="D38" s="31"/>
      <c r="E38" s="31"/>
    </row>
    <row r="39">
      <c r="D39" s="31"/>
      <c r="E39" s="31"/>
    </row>
    <row r="40">
      <c r="D40" s="31"/>
      <c r="E40" s="31"/>
    </row>
    <row r="41">
      <c r="D41" s="31"/>
      <c r="E41" s="31"/>
    </row>
    <row r="42">
      <c r="D42" s="31"/>
      <c r="E42" s="31"/>
    </row>
    <row r="43">
      <c r="D43" s="31"/>
      <c r="E43" s="31"/>
    </row>
    <row r="44">
      <c r="D44" s="31"/>
      <c r="E44" s="31"/>
    </row>
    <row r="45">
      <c r="D45" s="31"/>
      <c r="E45" s="31"/>
    </row>
    <row r="46">
      <c r="D46" s="31"/>
      <c r="E46" s="31"/>
    </row>
    <row r="47">
      <c r="D47" s="31"/>
      <c r="E47" s="31"/>
    </row>
    <row r="48">
      <c r="D48" s="31"/>
      <c r="E48" s="31"/>
    </row>
    <row r="49">
      <c r="D49" s="31"/>
      <c r="E49" s="31"/>
    </row>
    <row r="50">
      <c r="D50" s="31"/>
      <c r="E50" s="31"/>
    </row>
    <row r="51">
      <c r="D51" s="31"/>
      <c r="E51" s="31"/>
    </row>
    <row r="52">
      <c r="D52" s="31"/>
      <c r="E52" s="31"/>
    </row>
    <row r="53">
      <c r="D53" s="31"/>
      <c r="E53" s="31"/>
    </row>
    <row r="54">
      <c r="D54" s="31"/>
      <c r="E54" s="31"/>
    </row>
    <row r="55">
      <c r="D55" s="31"/>
      <c r="E55" s="31"/>
    </row>
    <row r="56">
      <c r="D56" s="31"/>
      <c r="E56" s="31"/>
    </row>
    <row r="57">
      <c r="D57" s="31"/>
      <c r="E57" s="31"/>
    </row>
    <row r="58">
      <c r="D58" s="31"/>
      <c r="E58" s="31"/>
    </row>
    <row r="59">
      <c r="D59" s="31"/>
      <c r="E59" s="31"/>
    </row>
    <row r="60">
      <c r="D60" s="31"/>
      <c r="E60" s="31"/>
    </row>
    <row r="61">
      <c r="D61" s="31"/>
      <c r="E61" s="31"/>
    </row>
    <row r="62">
      <c r="D62" s="31"/>
      <c r="E62" s="31"/>
    </row>
    <row r="63">
      <c r="D63" s="31"/>
      <c r="E63" s="31"/>
    </row>
    <row r="64">
      <c r="D64" s="31"/>
      <c r="E64" s="31"/>
    </row>
    <row r="65">
      <c r="D65" s="31"/>
      <c r="E65" s="31"/>
    </row>
    <row r="66">
      <c r="D66" s="31"/>
      <c r="E66" s="31"/>
    </row>
    <row r="67">
      <c r="D67" s="31"/>
      <c r="E67" s="31"/>
    </row>
    <row r="68">
      <c r="D68" s="31"/>
      <c r="E68" s="31"/>
    </row>
    <row r="69">
      <c r="D69" s="31"/>
      <c r="E69" s="31"/>
    </row>
    <row r="70">
      <c r="D70" s="31"/>
      <c r="E70" s="31"/>
    </row>
    <row r="71">
      <c r="D71" s="31"/>
      <c r="E71" s="31"/>
    </row>
    <row r="72">
      <c r="D72" s="31"/>
      <c r="E72" s="31"/>
    </row>
    <row r="73">
      <c r="D73" s="31"/>
      <c r="E73" s="31"/>
    </row>
    <row r="74">
      <c r="D74" s="31"/>
      <c r="E74" s="31"/>
    </row>
    <row r="75">
      <c r="D75" s="31"/>
      <c r="E75" s="31"/>
    </row>
    <row r="76">
      <c r="D76" s="31"/>
      <c r="E76" s="31"/>
    </row>
    <row r="77">
      <c r="D77" s="31"/>
      <c r="E77" s="31"/>
    </row>
    <row r="78">
      <c r="D78" s="31"/>
      <c r="E78" s="31"/>
    </row>
    <row r="79">
      <c r="D79" s="31"/>
      <c r="E79" s="31"/>
    </row>
    <row r="80">
      <c r="D80" s="31"/>
      <c r="E80" s="31"/>
    </row>
    <row r="81">
      <c r="D81" s="31"/>
      <c r="E81" s="31"/>
    </row>
    <row r="82">
      <c r="D82" s="31"/>
      <c r="E82" s="31"/>
    </row>
    <row r="83">
      <c r="D83" s="31"/>
      <c r="E83" s="31"/>
    </row>
    <row r="84">
      <c r="D84" s="31"/>
      <c r="E84" s="31"/>
    </row>
    <row r="85">
      <c r="D85" s="31"/>
      <c r="E85" s="31"/>
    </row>
    <row r="86">
      <c r="D86" s="31"/>
      <c r="E86" s="31"/>
    </row>
    <row r="87">
      <c r="D87" s="31"/>
      <c r="E87" s="31"/>
    </row>
    <row r="88">
      <c r="D88" s="31"/>
      <c r="E88" s="31"/>
    </row>
    <row r="89">
      <c r="D89" s="31"/>
      <c r="E89" s="31"/>
    </row>
    <row r="90">
      <c r="D90" s="31"/>
      <c r="E90" s="31"/>
    </row>
    <row r="91">
      <c r="D91" s="31"/>
      <c r="E91" s="31"/>
    </row>
    <row r="92">
      <c r="D92" s="31"/>
      <c r="E92" s="31"/>
    </row>
    <row r="93">
      <c r="D93" s="31"/>
      <c r="E93" s="31"/>
    </row>
    <row r="94">
      <c r="D94" s="31"/>
      <c r="E94" s="31"/>
    </row>
    <row r="95">
      <c r="D95" s="31"/>
      <c r="E95" s="31"/>
    </row>
    <row r="96">
      <c r="D96" s="31"/>
      <c r="E96" s="31"/>
    </row>
    <row r="97">
      <c r="D97" s="31"/>
      <c r="E97" s="31"/>
    </row>
    <row r="98">
      <c r="D98" s="31"/>
      <c r="E98" s="31"/>
    </row>
    <row r="99">
      <c r="D99" s="31"/>
      <c r="E99" s="31"/>
    </row>
    <row r="100">
      <c r="D100" s="31"/>
      <c r="E100" s="31"/>
    </row>
    <row r="101">
      <c r="D101" s="31"/>
      <c r="E101" s="31"/>
    </row>
    <row r="102">
      <c r="D102" s="31"/>
      <c r="E102" s="31"/>
    </row>
    <row r="103">
      <c r="D103" s="31"/>
      <c r="E103" s="31"/>
    </row>
    <row r="104">
      <c r="D104" s="31"/>
      <c r="E104" s="31"/>
    </row>
    <row r="105">
      <c r="D105" s="31"/>
      <c r="E105" s="31"/>
    </row>
    <row r="106">
      <c r="D106" s="31"/>
      <c r="E106" s="31"/>
    </row>
    <row r="107">
      <c r="D107" s="31"/>
      <c r="E107" s="31"/>
    </row>
    <row r="108">
      <c r="D108" s="31"/>
      <c r="E108" s="31"/>
    </row>
    <row r="109">
      <c r="D109" s="31"/>
      <c r="E109" s="31"/>
    </row>
    <row r="110">
      <c r="D110" s="31"/>
      <c r="E110" s="31"/>
    </row>
    <row r="111">
      <c r="D111" s="31"/>
      <c r="E111" s="31"/>
    </row>
    <row r="112">
      <c r="D112" s="31"/>
      <c r="E112" s="31"/>
    </row>
    <row r="113">
      <c r="D113" s="31"/>
      <c r="E113" s="31"/>
    </row>
    <row r="114">
      <c r="D114" s="31"/>
      <c r="E114" s="31"/>
    </row>
    <row r="115">
      <c r="D115" s="31"/>
      <c r="E115" s="31"/>
    </row>
    <row r="116">
      <c r="D116" s="31"/>
      <c r="E116" s="31"/>
    </row>
    <row r="117">
      <c r="D117" s="31"/>
      <c r="E117" s="31"/>
    </row>
    <row r="118">
      <c r="D118" s="31"/>
      <c r="E118" s="31"/>
    </row>
    <row r="119">
      <c r="D119" s="31"/>
      <c r="E119" s="31"/>
    </row>
    <row r="120">
      <c r="D120" s="31"/>
      <c r="E120" s="31"/>
    </row>
    <row r="121">
      <c r="D121" s="31"/>
      <c r="E121" s="31"/>
    </row>
    <row r="122">
      <c r="D122" s="31"/>
      <c r="E122" s="31"/>
    </row>
    <row r="123">
      <c r="D123" s="31"/>
      <c r="E123" s="31"/>
    </row>
    <row r="124">
      <c r="D124" s="31"/>
      <c r="E124" s="31"/>
    </row>
    <row r="125">
      <c r="D125" s="31"/>
      <c r="E125" s="31"/>
    </row>
    <row r="126">
      <c r="D126" s="31"/>
      <c r="E126" s="31"/>
    </row>
    <row r="127">
      <c r="D127" s="31"/>
      <c r="E127" s="31"/>
    </row>
    <row r="128">
      <c r="D128" s="31"/>
      <c r="E128" s="31"/>
    </row>
    <row r="129">
      <c r="D129" s="31"/>
      <c r="E129" s="31"/>
    </row>
    <row r="130">
      <c r="D130" s="31"/>
      <c r="E130" s="31"/>
    </row>
    <row r="131">
      <c r="D131" s="31"/>
      <c r="E131" s="31"/>
    </row>
    <row r="132">
      <c r="D132" s="31"/>
      <c r="E132" s="31"/>
    </row>
    <row r="133">
      <c r="D133" s="31"/>
      <c r="E133" s="31"/>
    </row>
    <row r="134">
      <c r="D134" s="31"/>
      <c r="E134" s="31"/>
    </row>
    <row r="135">
      <c r="D135" s="31"/>
      <c r="E135" s="31"/>
    </row>
    <row r="136">
      <c r="D136" s="31"/>
      <c r="E136" s="31"/>
    </row>
    <row r="137">
      <c r="D137" s="31"/>
      <c r="E137" s="31"/>
    </row>
    <row r="138">
      <c r="D138" s="31"/>
      <c r="E138" s="31"/>
    </row>
    <row r="139">
      <c r="D139" s="31"/>
      <c r="E139" s="31"/>
    </row>
    <row r="140">
      <c r="D140" s="31"/>
      <c r="E140" s="31"/>
    </row>
    <row r="141">
      <c r="D141" s="31"/>
      <c r="E141" s="31"/>
    </row>
    <row r="142">
      <c r="D142" s="31"/>
      <c r="E142" s="31"/>
    </row>
    <row r="143">
      <c r="D143" s="31"/>
      <c r="E143" s="31"/>
    </row>
    <row r="144">
      <c r="D144" s="31"/>
      <c r="E144" s="31"/>
    </row>
    <row r="145">
      <c r="D145" s="31"/>
      <c r="E145" s="31"/>
    </row>
    <row r="146">
      <c r="D146" s="31"/>
      <c r="E146" s="31"/>
    </row>
    <row r="147">
      <c r="D147" s="31"/>
      <c r="E147" s="31"/>
    </row>
    <row r="148">
      <c r="D148" s="31"/>
      <c r="E148" s="31"/>
    </row>
    <row r="149">
      <c r="D149" s="31"/>
      <c r="E149" s="31"/>
    </row>
    <row r="150">
      <c r="D150" s="31"/>
      <c r="E150" s="31"/>
    </row>
    <row r="151">
      <c r="D151" s="31"/>
      <c r="E151" s="31"/>
    </row>
    <row r="152">
      <c r="D152" s="31"/>
      <c r="E152" s="31"/>
    </row>
    <row r="153">
      <c r="D153" s="31"/>
      <c r="E153" s="31"/>
    </row>
    <row r="154">
      <c r="D154" s="31"/>
      <c r="E154" s="31"/>
    </row>
    <row r="155">
      <c r="D155" s="31"/>
      <c r="E155" s="31"/>
    </row>
    <row r="156">
      <c r="D156" s="31"/>
      <c r="E156" s="31"/>
    </row>
    <row r="157">
      <c r="D157" s="31"/>
      <c r="E157" s="31"/>
    </row>
    <row r="158">
      <c r="D158" s="31"/>
      <c r="E158" s="31"/>
    </row>
    <row r="159">
      <c r="D159" s="31"/>
      <c r="E159" s="31"/>
    </row>
    <row r="160">
      <c r="D160" s="31"/>
      <c r="E160" s="31"/>
    </row>
    <row r="161">
      <c r="D161" s="31"/>
      <c r="E161" s="31"/>
    </row>
    <row r="162">
      <c r="D162" s="31"/>
      <c r="E162" s="31"/>
    </row>
    <row r="163">
      <c r="D163" s="31"/>
      <c r="E163" s="31"/>
    </row>
    <row r="164">
      <c r="D164" s="31"/>
      <c r="E164" s="31"/>
    </row>
    <row r="165">
      <c r="D165" s="31"/>
      <c r="E165" s="31"/>
    </row>
    <row r="166">
      <c r="D166" s="31"/>
      <c r="E166" s="31"/>
    </row>
    <row r="167">
      <c r="D167" s="31"/>
      <c r="E167" s="31"/>
    </row>
    <row r="168">
      <c r="D168" s="31"/>
      <c r="E168" s="31"/>
    </row>
    <row r="169">
      <c r="D169" s="31"/>
      <c r="E169" s="31"/>
    </row>
    <row r="170">
      <c r="D170" s="31"/>
      <c r="E170" s="31"/>
    </row>
    <row r="171">
      <c r="D171" s="31"/>
      <c r="E171" s="31"/>
    </row>
    <row r="172">
      <c r="D172" s="31"/>
      <c r="E172" s="31"/>
    </row>
    <row r="173">
      <c r="D173" s="31"/>
      <c r="E173" s="31"/>
    </row>
    <row r="174">
      <c r="D174" s="31"/>
      <c r="E174" s="31"/>
    </row>
    <row r="175">
      <c r="D175" s="31"/>
      <c r="E175" s="31"/>
    </row>
    <row r="176">
      <c r="D176" s="31"/>
      <c r="E176" s="31"/>
    </row>
    <row r="177">
      <c r="D177" s="31"/>
      <c r="E177" s="31"/>
    </row>
    <row r="178">
      <c r="D178" s="31"/>
      <c r="E178" s="31"/>
    </row>
    <row r="179">
      <c r="D179" s="31"/>
      <c r="E179" s="31"/>
    </row>
    <row r="180">
      <c r="D180" s="31"/>
      <c r="E180" s="31"/>
    </row>
    <row r="181">
      <c r="D181" s="31"/>
      <c r="E181" s="31"/>
    </row>
    <row r="182">
      <c r="D182" s="31"/>
      <c r="E182" s="31"/>
    </row>
    <row r="183">
      <c r="D183" s="31"/>
      <c r="E183" s="31"/>
    </row>
    <row r="184">
      <c r="D184" s="31"/>
      <c r="E184" s="31"/>
    </row>
    <row r="185">
      <c r="D185" s="31"/>
      <c r="E185" s="31"/>
    </row>
    <row r="186">
      <c r="D186" s="31"/>
      <c r="E186" s="31"/>
    </row>
    <row r="187">
      <c r="D187" s="31"/>
      <c r="E187" s="31"/>
    </row>
    <row r="188">
      <c r="D188" s="31"/>
      <c r="E188" s="31"/>
    </row>
    <row r="189">
      <c r="D189" s="31"/>
      <c r="E189" s="31"/>
    </row>
    <row r="190">
      <c r="D190" s="31"/>
      <c r="E190" s="31"/>
    </row>
    <row r="191">
      <c r="D191" s="31"/>
      <c r="E191" s="31"/>
    </row>
    <row r="192">
      <c r="D192" s="31"/>
      <c r="E192" s="31"/>
    </row>
    <row r="193">
      <c r="D193" s="31"/>
      <c r="E193" s="31"/>
    </row>
    <row r="194">
      <c r="D194" s="31"/>
      <c r="E194" s="31"/>
    </row>
    <row r="195">
      <c r="D195" s="31"/>
      <c r="E195" s="31"/>
    </row>
    <row r="196">
      <c r="D196" s="31"/>
      <c r="E196" s="31"/>
    </row>
    <row r="197">
      <c r="D197" s="31"/>
      <c r="E197" s="31"/>
    </row>
    <row r="198">
      <c r="D198" s="31"/>
      <c r="E198" s="31"/>
    </row>
    <row r="199">
      <c r="D199" s="31"/>
      <c r="E199" s="31"/>
    </row>
    <row r="200">
      <c r="D200" s="31"/>
      <c r="E200" s="31"/>
    </row>
    <row r="201">
      <c r="D201" s="31"/>
      <c r="E201" s="31"/>
    </row>
    <row r="202">
      <c r="D202" s="31"/>
      <c r="E202" s="31"/>
    </row>
    <row r="203">
      <c r="D203" s="31"/>
      <c r="E203" s="31"/>
    </row>
    <row r="204">
      <c r="D204" s="31"/>
      <c r="E204" s="31"/>
    </row>
    <row r="205">
      <c r="D205" s="31"/>
      <c r="E205" s="31"/>
    </row>
    <row r="206">
      <c r="D206" s="31"/>
      <c r="E206" s="31"/>
    </row>
    <row r="207">
      <c r="D207" s="31"/>
      <c r="E207" s="31"/>
    </row>
    <row r="208">
      <c r="D208" s="31"/>
      <c r="E208" s="31"/>
    </row>
    <row r="209">
      <c r="D209" s="31"/>
      <c r="E209" s="31"/>
    </row>
    <row r="210">
      <c r="D210" s="31"/>
      <c r="E210" s="31"/>
    </row>
    <row r="211">
      <c r="D211" s="31"/>
      <c r="E211" s="31"/>
    </row>
    <row r="212">
      <c r="D212" s="31"/>
      <c r="E212" s="31"/>
    </row>
    <row r="213">
      <c r="D213" s="31"/>
      <c r="E213" s="31"/>
    </row>
    <row r="214">
      <c r="D214" s="31"/>
      <c r="E214" s="31"/>
    </row>
    <row r="215">
      <c r="D215" s="31"/>
      <c r="E215" s="31"/>
    </row>
    <row r="216">
      <c r="D216" s="31"/>
      <c r="E216" s="31"/>
    </row>
    <row r="217">
      <c r="D217" s="31"/>
      <c r="E217" s="31"/>
    </row>
    <row r="218">
      <c r="D218" s="31"/>
      <c r="E218" s="31"/>
    </row>
    <row r="219">
      <c r="D219" s="31"/>
      <c r="E219" s="31"/>
    </row>
    <row r="220">
      <c r="D220" s="31"/>
      <c r="E220" s="31"/>
    </row>
    <row r="221">
      <c r="D221" s="31"/>
      <c r="E221" s="31"/>
    </row>
    <row r="222">
      <c r="D222" s="31"/>
      <c r="E222" s="31"/>
    </row>
    <row r="223">
      <c r="D223" s="31"/>
      <c r="E223" s="31"/>
    </row>
    <row r="224">
      <c r="D224" s="31"/>
      <c r="E224" s="31"/>
    </row>
    <row r="225">
      <c r="D225" s="31"/>
      <c r="E225" s="31"/>
    </row>
    <row r="226">
      <c r="D226" s="31"/>
      <c r="E226" s="31"/>
    </row>
    <row r="227">
      <c r="D227" s="31"/>
      <c r="E227" s="31"/>
    </row>
    <row r="228">
      <c r="D228" s="31"/>
      <c r="E228" s="31"/>
    </row>
    <row r="229">
      <c r="D229" s="31"/>
      <c r="E229" s="31"/>
    </row>
    <row r="230">
      <c r="D230" s="31"/>
      <c r="E230" s="31"/>
    </row>
    <row r="231">
      <c r="D231" s="31"/>
      <c r="E231" s="31"/>
    </row>
    <row r="232">
      <c r="D232" s="31"/>
      <c r="E232" s="31"/>
    </row>
    <row r="233">
      <c r="D233" s="31"/>
      <c r="E233" s="31"/>
    </row>
    <row r="234">
      <c r="D234" s="31"/>
      <c r="E234" s="31"/>
    </row>
    <row r="235">
      <c r="D235" s="31"/>
      <c r="E235" s="31"/>
    </row>
    <row r="236">
      <c r="D236" s="31"/>
      <c r="E236" s="31"/>
    </row>
    <row r="237">
      <c r="D237" s="31"/>
      <c r="E237" s="31"/>
    </row>
    <row r="238">
      <c r="D238" s="31"/>
      <c r="E238" s="31"/>
    </row>
    <row r="239">
      <c r="D239" s="31"/>
      <c r="E239" s="31"/>
    </row>
    <row r="240">
      <c r="D240" s="31"/>
      <c r="E240" s="31"/>
    </row>
    <row r="241">
      <c r="D241" s="31"/>
      <c r="E241" s="31"/>
    </row>
    <row r="242">
      <c r="D242" s="31"/>
      <c r="E242" s="31"/>
    </row>
    <row r="243">
      <c r="D243" s="31"/>
      <c r="E243" s="31"/>
    </row>
    <row r="244">
      <c r="D244" s="31"/>
      <c r="E244" s="31"/>
    </row>
    <row r="245">
      <c r="D245" s="31"/>
      <c r="E245" s="31"/>
    </row>
    <row r="246">
      <c r="D246" s="31"/>
      <c r="E246" s="31"/>
    </row>
    <row r="247">
      <c r="D247" s="31"/>
      <c r="E247" s="31"/>
    </row>
    <row r="248">
      <c r="D248" s="31"/>
      <c r="E248" s="31"/>
    </row>
    <row r="249">
      <c r="D249" s="31"/>
      <c r="E249" s="31"/>
    </row>
    <row r="250">
      <c r="D250" s="31"/>
      <c r="E250" s="31"/>
    </row>
    <row r="251">
      <c r="D251" s="31"/>
      <c r="E251" s="31"/>
    </row>
    <row r="252">
      <c r="D252" s="31"/>
      <c r="E252" s="31"/>
    </row>
    <row r="253">
      <c r="D253" s="31"/>
      <c r="E253" s="31"/>
    </row>
    <row r="254">
      <c r="D254" s="31"/>
      <c r="E254" s="31"/>
    </row>
    <row r="255">
      <c r="D255" s="31"/>
      <c r="E255" s="31"/>
    </row>
    <row r="256">
      <c r="D256" s="31"/>
      <c r="E256" s="31"/>
    </row>
    <row r="257">
      <c r="D257" s="31"/>
      <c r="E257" s="31"/>
    </row>
    <row r="258">
      <c r="D258" s="31"/>
      <c r="E258" s="31"/>
    </row>
    <row r="259">
      <c r="D259" s="31"/>
      <c r="E259" s="31"/>
    </row>
    <row r="260">
      <c r="D260" s="31"/>
      <c r="E260" s="31"/>
    </row>
    <row r="261">
      <c r="D261" s="31"/>
      <c r="E261" s="31"/>
    </row>
    <row r="262">
      <c r="D262" s="31"/>
      <c r="E262" s="31"/>
    </row>
    <row r="263">
      <c r="D263" s="31"/>
      <c r="E263" s="31"/>
    </row>
    <row r="264">
      <c r="D264" s="31"/>
      <c r="E264" s="31"/>
    </row>
    <row r="265">
      <c r="D265" s="31"/>
      <c r="E265" s="31"/>
    </row>
    <row r="266">
      <c r="D266" s="31"/>
      <c r="E266" s="31"/>
    </row>
    <row r="267">
      <c r="D267" s="31"/>
      <c r="E267" s="31"/>
    </row>
    <row r="268">
      <c r="D268" s="31"/>
      <c r="E268" s="31"/>
    </row>
    <row r="269">
      <c r="D269" s="31"/>
      <c r="E269" s="31"/>
    </row>
    <row r="270">
      <c r="D270" s="31"/>
      <c r="E270" s="31"/>
    </row>
    <row r="271">
      <c r="D271" s="31"/>
      <c r="E271" s="31"/>
    </row>
    <row r="272">
      <c r="D272" s="31"/>
      <c r="E272" s="31"/>
    </row>
    <row r="273">
      <c r="D273" s="31"/>
      <c r="E273" s="31"/>
    </row>
    <row r="274">
      <c r="D274" s="31"/>
      <c r="E274" s="31"/>
    </row>
    <row r="275">
      <c r="D275" s="31"/>
      <c r="E275" s="31"/>
    </row>
    <row r="276">
      <c r="D276" s="31"/>
      <c r="E276" s="31"/>
    </row>
    <row r="277">
      <c r="D277" s="31"/>
      <c r="E277" s="31"/>
    </row>
    <row r="278">
      <c r="D278" s="31"/>
      <c r="E278" s="31"/>
    </row>
    <row r="279">
      <c r="D279" s="31"/>
      <c r="E279" s="31"/>
    </row>
    <row r="280">
      <c r="D280" s="31"/>
      <c r="E280" s="31"/>
    </row>
    <row r="281">
      <c r="D281" s="31"/>
      <c r="E281" s="31"/>
    </row>
    <row r="282">
      <c r="D282" s="31"/>
      <c r="E282" s="31"/>
    </row>
    <row r="283">
      <c r="D283" s="31"/>
      <c r="E283" s="31"/>
    </row>
    <row r="284">
      <c r="D284" s="31"/>
      <c r="E284" s="31"/>
    </row>
    <row r="285">
      <c r="D285" s="31"/>
      <c r="E285" s="31"/>
    </row>
    <row r="286">
      <c r="D286" s="31"/>
      <c r="E286" s="31"/>
    </row>
    <row r="287">
      <c r="D287" s="31"/>
      <c r="E287" s="31"/>
    </row>
    <row r="288">
      <c r="D288" s="31"/>
      <c r="E288" s="31"/>
    </row>
    <row r="289">
      <c r="D289" s="31"/>
      <c r="E289" s="31"/>
    </row>
    <row r="290">
      <c r="D290" s="31"/>
      <c r="E290" s="31"/>
    </row>
    <row r="291">
      <c r="D291" s="31"/>
      <c r="E291" s="31"/>
    </row>
    <row r="292">
      <c r="D292" s="31"/>
      <c r="E292" s="31"/>
    </row>
    <row r="293">
      <c r="D293" s="31"/>
      <c r="E293" s="31"/>
    </row>
    <row r="294">
      <c r="D294" s="31"/>
      <c r="E294" s="31"/>
    </row>
    <row r="295">
      <c r="D295" s="31"/>
      <c r="E295" s="31"/>
    </row>
    <row r="296">
      <c r="D296" s="31"/>
      <c r="E296" s="31"/>
    </row>
    <row r="297">
      <c r="D297" s="31"/>
      <c r="E297" s="31"/>
    </row>
    <row r="298">
      <c r="D298" s="31"/>
      <c r="E298" s="31"/>
    </row>
    <row r="299">
      <c r="D299" s="31"/>
      <c r="E299" s="31"/>
    </row>
    <row r="300">
      <c r="D300" s="31"/>
      <c r="E300" s="31"/>
    </row>
    <row r="301">
      <c r="D301" s="31"/>
      <c r="E301" s="31"/>
    </row>
    <row r="302">
      <c r="D302" s="31"/>
      <c r="E302" s="31"/>
    </row>
    <row r="303">
      <c r="D303" s="31"/>
      <c r="E303" s="31"/>
    </row>
    <row r="304">
      <c r="D304" s="31"/>
      <c r="E304" s="31"/>
    </row>
    <row r="305">
      <c r="D305" s="31"/>
      <c r="E305" s="31"/>
    </row>
    <row r="306">
      <c r="D306" s="31"/>
      <c r="E306" s="31"/>
    </row>
    <row r="307">
      <c r="D307" s="31"/>
      <c r="E307" s="31"/>
    </row>
    <row r="308">
      <c r="D308" s="31"/>
      <c r="E308" s="31"/>
    </row>
    <row r="309">
      <c r="D309" s="31"/>
      <c r="E309" s="31"/>
    </row>
    <row r="310">
      <c r="D310" s="31"/>
      <c r="E310" s="31"/>
    </row>
    <row r="311">
      <c r="D311" s="31"/>
      <c r="E311" s="31"/>
    </row>
    <row r="312">
      <c r="D312" s="31"/>
      <c r="E312" s="31"/>
    </row>
    <row r="313">
      <c r="D313" s="31"/>
      <c r="E313" s="31"/>
    </row>
    <row r="314">
      <c r="D314" s="31"/>
      <c r="E314" s="31"/>
    </row>
    <row r="315">
      <c r="D315" s="31"/>
      <c r="E315" s="31"/>
    </row>
    <row r="316">
      <c r="D316" s="31"/>
      <c r="E316" s="31"/>
    </row>
    <row r="317">
      <c r="D317" s="31"/>
      <c r="E317" s="31"/>
    </row>
    <row r="318">
      <c r="D318" s="31"/>
      <c r="E318" s="31"/>
    </row>
    <row r="319">
      <c r="D319" s="31"/>
      <c r="E319" s="31"/>
    </row>
    <row r="320">
      <c r="D320" s="31"/>
      <c r="E320" s="31"/>
    </row>
    <row r="321">
      <c r="D321" s="31"/>
      <c r="E321" s="31"/>
    </row>
    <row r="322">
      <c r="D322" s="31"/>
      <c r="E322" s="31"/>
    </row>
    <row r="323">
      <c r="D323" s="31"/>
      <c r="E323" s="31"/>
    </row>
    <row r="324">
      <c r="D324" s="31"/>
      <c r="E324" s="31"/>
    </row>
    <row r="325">
      <c r="D325" s="31"/>
      <c r="E325" s="31"/>
    </row>
    <row r="326">
      <c r="D326" s="31"/>
      <c r="E326" s="31"/>
    </row>
    <row r="327">
      <c r="D327" s="31"/>
      <c r="E327" s="31"/>
    </row>
    <row r="328">
      <c r="D328" s="31"/>
      <c r="E328" s="31"/>
    </row>
    <row r="329">
      <c r="D329" s="31"/>
      <c r="E329" s="31"/>
    </row>
    <row r="330">
      <c r="D330" s="31"/>
      <c r="E330" s="31"/>
    </row>
    <row r="331">
      <c r="D331" s="31"/>
      <c r="E331" s="31"/>
    </row>
    <row r="332">
      <c r="D332" s="31"/>
      <c r="E332" s="31"/>
    </row>
    <row r="333">
      <c r="D333" s="31"/>
      <c r="E333" s="31"/>
    </row>
    <row r="334">
      <c r="D334" s="31"/>
      <c r="E334" s="31"/>
    </row>
    <row r="335">
      <c r="D335" s="31"/>
      <c r="E335" s="31"/>
    </row>
    <row r="336">
      <c r="D336" s="31"/>
      <c r="E336" s="31"/>
    </row>
    <row r="337">
      <c r="D337" s="31"/>
      <c r="E337" s="31"/>
    </row>
    <row r="338">
      <c r="D338" s="31"/>
      <c r="E338" s="31"/>
    </row>
    <row r="339">
      <c r="D339" s="31"/>
      <c r="E339" s="31"/>
    </row>
    <row r="340">
      <c r="D340" s="31"/>
      <c r="E340" s="31"/>
    </row>
    <row r="341">
      <c r="D341" s="31"/>
      <c r="E341" s="31"/>
    </row>
    <row r="342">
      <c r="D342" s="31"/>
      <c r="E342" s="31"/>
    </row>
    <row r="343">
      <c r="D343" s="31"/>
      <c r="E343" s="31"/>
    </row>
    <row r="344">
      <c r="D344" s="31"/>
      <c r="E344" s="31"/>
    </row>
    <row r="345">
      <c r="D345" s="31"/>
      <c r="E345" s="31"/>
    </row>
    <row r="346">
      <c r="D346" s="31"/>
      <c r="E346" s="31"/>
    </row>
    <row r="347">
      <c r="D347" s="31"/>
      <c r="E347" s="31"/>
    </row>
    <row r="348">
      <c r="D348" s="31"/>
      <c r="E348" s="31"/>
    </row>
    <row r="349">
      <c r="D349" s="31"/>
      <c r="E349" s="31"/>
    </row>
    <row r="350">
      <c r="D350" s="31"/>
      <c r="E350" s="31"/>
    </row>
    <row r="351">
      <c r="D351" s="31"/>
      <c r="E351" s="31"/>
    </row>
    <row r="352">
      <c r="D352" s="31"/>
      <c r="E352" s="31"/>
    </row>
    <row r="353">
      <c r="D353" s="31"/>
      <c r="E353" s="31"/>
    </row>
    <row r="354">
      <c r="D354" s="31"/>
      <c r="E354" s="31"/>
    </row>
    <row r="355">
      <c r="D355" s="31"/>
      <c r="E355" s="31"/>
    </row>
    <row r="356">
      <c r="D356" s="31"/>
      <c r="E356" s="31"/>
    </row>
    <row r="357">
      <c r="D357" s="31"/>
      <c r="E357" s="31"/>
    </row>
    <row r="358">
      <c r="D358" s="31"/>
      <c r="E358" s="31"/>
    </row>
    <row r="359">
      <c r="D359" s="31"/>
      <c r="E359" s="31"/>
    </row>
    <row r="360">
      <c r="D360" s="31"/>
      <c r="E360" s="31"/>
    </row>
    <row r="361">
      <c r="D361" s="31"/>
      <c r="E361" s="31"/>
    </row>
    <row r="362">
      <c r="D362" s="31"/>
      <c r="E362" s="31"/>
    </row>
    <row r="363">
      <c r="D363" s="31"/>
      <c r="E363" s="31"/>
    </row>
    <row r="364">
      <c r="D364" s="31"/>
      <c r="E364" s="31"/>
    </row>
    <row r="365">
      <c r="D365" s="31"/>
      <c r="E365" s="31"/>
    </row>
    <row r="366">
      <c r="D366" s="31"/>
      <c r="E366" s="31"/>
    </row>
    <row r="367">
      <c r="D367" s="31"/>
      <c r="E367" s="31"/>
    </row>
    <row r="368">
      <c r="D368" s="31"/>
      <c r="E368" s="31"/>
    </row>
    <row r="369">
      <c r="D369" s="31"/>
      <c r="E369" s="31"/>
    </row>
    <row r="370">
      <c r="D370" s="31"/>
      <c r="E370" s="31"/>
    </row>
    <row r="371">
      <c r="D371" s="31"/>
      <c r="E371" s="31"/>
    </row>
    <row r="372">
      <c r="D372" s="31"/>
      <c r="E372" s="31"/>
    </row>
    <row r="373">
      <c r="D373" s="31"/>
      <c r="E373" s="31"/>
    </row>
    <row r="374">
      <c r="D374" s="31"/>
      <c r="E374" s="31"/>
    </row>
    <row r="375">
      <c r="D375" s="31"/>
      <c r="E375" s="31"/>
    </row>
    <row r="376">
      <c r="D376" s="31"/>
      <c r="E376" s="31"/>
    </row>
    <row r="377">
      <c r="D377" s="31"/>
      <c r="E377" s="31"/>
    </row>
    <row r="378">
      <c r="D378" s="31"/>
      <c r="E378" s="31"/>
    </row>
    <row r="379">
      <c r="D379" s="31"/>
      <c r="E379" s="31"/>
    </row>
    <row r="380">
      <c r="D380" s="31"/>
      <c r="E380" s="31"/>
    </row>
    <row r="381">
      <c r="D381" s="31"/>
      <c r="E381" s="31"/>
    </row>
    <row r="382">
      <c r="D382" s="31"/>
      <c r="E382" s="31"/>
    </row>
    <row r="383">
      <c r="D383" s="31"/>
      <c r="E383" s="31"/>
    </row>
    <row r="384">
      <c r="D384" s="31"/>
      <c r="E384" s="31"/>
    </row>
    <row r="385">
      <c r="D385" s="31"/>
      <c r="E385" s="31"/>
    </row>
    <row r="386">
      <c r="D386" s="31"/>
      <c r="E386" s="31"/>
    </row>
    <row r="387">
      <c r="D387" s="31"/>
      <c r="E387" s="31"/>
    </row>
    <row r="388">
      <c r="D388" s="31"/>
      <c r="E388" s="31"/>
    </row>
    <row r="389">
      <c r="D389" s="31"/>
      <c r="E389" s="31"/>
    </row>
    <row r="390">
      <c r="D390" s="31"/>
      <c r="E390" s="31"/>
    </row>
    <row r="391">
      <c r="D391" s="31"/>
      <c r="E391" s="31"/>
    </row>
    <row r="392">
      <c r="D392" s="31"/>
      <c r="E392" s="31"/>
    </row>
    <row r="393">
      <c r="D393" s="31"/>
      <c r="E393" s="31"/>
    </row>
    <row r="394">
      <c r="D394" s="31"/>
      <c r="E394" s="31"/>
    </row>
    <row r="395">
      <c r="D395" s="31"/>
      <c r="E395" s="31"/>
    </row>
    <row r="396">
      <c r="D396" s="31"/>
      <c r="E396" s="31"/>
    </row>
    <row r="397">
      <c r="D397" s="31"/>
      <c r="E397" s="31"/>
    </row>
    <row r="398">
      <c r="D398" s="31"/>
      <c r="E398" s="31"/>
    </row>
    <row r="399">
      <c r="D399" s="31"/>
      <c r="E399" s="31"/>
    </row>
    <row r="400">
      <c r="D400" s="31"/>
      <c r="E400" s="31"/>
    </row>
    <row r="401">
      <c r="D401" s="31"/>
      <c r="E401" s="31"/>
    </row>
    <row r="402">
      <c r="D402" s="31"/>
      <c r="E402" s="31"/>
    </row>
    <row r="403">
      <c r="D403" s="31"/>
      <c r="E403" s="31"/>
    </row>
    <row r="404">
      <c r="D404" s="31"/>
      <c r="E404" s="31"/>
    </row>
    <row r="405">
      <c r="D405" s="31"/>
      <c r="E405" s="31"/>
    </row>
    <row r="406">
      <c r="D406" s="31"/>
      <c r="E406" s="31"/>
    </row>
    <row r="407">
      <c r="D407" s="31"/>
      <c r="E407" s="31"/>
    </row>
    <row r="408">
      <c r="D408" s="31"/>
      <c r="E408" s="31"/>
    </row>
    <row r="409">
      <c r="D409" s="31"/>
      <c r="E409" s="31"/>
    </row>
    <row r="410">
      <c r="D410" s="31"/>
      <c r="E410" s="31"/>
    </row>
    <row r="411">
      <c r="D411" s="31"/>
      <c r="E411" s="31"/>
    </row>
    <row r="412">
      <c r="D412" s="31"/>
      <c r="E412" s="31"/>
    </row>
    <row r="413">
      <c r="D413" s="31"/>
      <c r="E413" s="31"/>
    </row>
    <row r="414">
      <c r="D414" s="31"/>
      <c r="E414" s="31"/>
    </row>
    <row r="415">
      <c r="D415" s="31"/>
      <c r="E415" s="31"/>
    </row>
    <row r="416">
      <c r="D416" s="31"/>
      <c r="E416" s="31"/>
    </row>
    <row r="417">
      <c r="D417" s="31"/>
      <c r="E417" s="31"/>
    </row>
    <row r="418">
      <c r="D418" s="31"/>
      <c r="E418" s="31"/>
    </row>
    <row r="419">
      <c r="D419" s="31"/>
      <c r="E419" s="31"/>
    </row>
    <row r="420">
      <c r="D420" s="31"/>
      <c r="E420" s="31"/>
    </row>
    <row r="421">
      <c r="D421" s="31"/>
      <c r="E421" s="31"/>
    </row>
    <row r="422">
      <c r="D422" s="31"/>
      <c r="E422" s="31"/>
    </row>
    <row r="423">
      <c r="D423" s="31"/>
      <c r="E423" s="31"/>
    </row>
    <row r="424">
      <c r="D424" s="31"/>
      <c r="E424" s="31"/>
    </row>
    <row r="425">
      <c r="D425" s="31"/>
      <c r="E425" s="31"/>
    </row>
    <row r="426">
      <c r="D426" s="31"/>
      <c r="E426" s="31"/>
    </row>
    <row r="427">
      <c r="D427" s="31"/>
      <c r="E427" s="31"/>
    </row>
    <row r="428">
      <c r="D428" s="31"/>
      <c r="E428" s="31"/>
    </row>
    <row r="429">
      <c r="D429" s="31"/>
      <c r="E429" s="31"/>
    </row>
    <row r="430">
      <c r="D430" s="31"/>
      <c r="E430" s="31"/>
    </row>
    <row r="431">
      <c r="D431" s="31"/>
      <c r="E431" s="31"/>
    </row>
    <row r="432">
      <c r="D432" s="31"/>
      <c r="E432" s="31"/>
    </row>
    <row r="433">
      <c r="D433" s="31"/>
      <c r="E433" s="31"/>
    </row>
    <row r="434">
      <c r="D434" s="31"/>
      <c r="E434" s="31"/>
    </row>
    <row r="435">
      <c r="D435" s="31"/>
      <c r="E435" s="31"/>
    </row>
    <row r="436">
      <c r="D436" s="31"/>
      <c r="E436" s="31"/>
    </row>
    <row r="437">
      <c r="D437" s="31"/>
      <c r="E437" s="31"/>
    </row>
    <row r="438">
      <c r="D438" s="31"/>
      <c r="E438" s="31"/>
    </row>
    <row r="439">
      <c r="D439" s="31"/>
      <c r="E439" s="31"/>
    </row>
    <row r="440">
      <c r="D440" s="31"/>
      <c r="E440" s="31"/>
    </row>
    <row r="441">
      <c r="D441" s="31"/>
      <c r="E441" s="31"/>
    </row>
    <row r="442">
      <c r="D442" s="31"/>
      <c r="E442" s="31"/>
    </row>
    <row r="443">
      <c r="D443" s="31"/>
      <c r="E443" s="31"/>
    </row>
    <row r="444">
      <c r="D444" s="31"/>
      <c r="E444" s="31"/>
    </row>
    <row r="445">
      <c r="D445" s="31"/>
      <c r="E445" s="31"/>
    </row>
    <row r="446">
      <c r="D446" s="31"/>
      <c r="E446" s="31"/>
    </row>
    <row r="447">
      <c r="D447" s="31"/>
      <c r="E447" s="31"/>
    </row>
    <row r="448">
      <c r="D448" s="31"/>
      <c r="E448" s="31"/>
    </row>
    <row r="449">
      <c r="D449" s="31"/>
      <c r="E449" s="31"/>
    </row>
    <row r="450">
      <c r="D450" s="31"/>
      <c r="E450" s="31"/>
    </row>
    <row r="451">
      <c r="D451" s="31"/>
      <c r="E451" s="31"/>
    </row>
    <row r="452">
      <c r="D452" s="31"/>
      <c r="E452" s="31"/>
    </row>
    <row r="453">
      <c r="D453" s="31"/>
      <c r="E453" s="31"/>
    </row>
    <row r="454">
      <c r="D454" s="31"/>
      <c r="E454" s="31"/>
    </row>
    <row r="455">
      <c r="D455" s="31"/>
      <c r="E455" s="31"/>
    </row>
    <row r="456">
      <c r="D456" s="31"/>
      <c r="E456" s="31"/>
    </row>
    <row r="457">
      <c r="D457" s="31"/>
      <c r="E457" s="31"/>
    </row>
    <row r="458">
      <c r="D458" s="31"/>
      <c r="E458" s="31"/>
    </row>
    <row r="459">
      <c r="D459" s="31"/>
      <c r="E459" s="31"/>
    </row>
    <row r="460">
      <c r="D460" s="31"/>
      <c r="E460" s="31"/>
    </row>
    <row r="461">
      <c r="D461" s="31"/>
      <c r="E461" s="31"/>
    </row>
    <row r="462">
      <c r="D462" s="31"/>
      <c r="E462" s="31"/>
    </row>
    <row r="463">
      <c r="D463" s="31"/>
      <c r="E463" s="31"/>
    </row>
    <row r="464">
      <c r="D464" s="31"/>
      <c r="E464" s="31"/>
    </row>
    <row r="465">
      <c r="D465" s="31"/>
      <c r="E465" s="31"/>
    </row>
    <row r="466">
      <c r="D466" s="31"/>
      <c r="E466" s="31"/>
    </row>
    <row r="467">
      <c r="D467" s="31"/>
      <c r="E467" s="31"/>
    </row>
    <row r="468">
      <c r="D468" s="31"/>
      <c r="E468" s="31"/>
    </row>
    <row r="469">
      <c r="D469" s="31"/>
      <c r="E469" s="31"/>
    </row>
    <row r="470">
      <c r="D470" s="31"/>
      <c r="E470" s="31"/>
    </row>
    <row r="471">
      <c r="D471" s="31"/>
      <c r="E471" s="31"/>
    </row>
    <row r="472">
      <c r="D472" s="31"/>
      <c r="E472" s="31"/>
    </row>
    <row r="473">
      <c r="D473" s="31"/>
      <c r="E473" s="31"/>
    </row>
    <row r="474">
      <c r="D474" s="31"/>
      <c r="E474" s="31"/>
    </row>
    <row r="475">
      <c r="D475" s="31"/>
      <c r="E475" s="31"/>
    </row>
    <row r="476">
      <c r="D476" s="31"/>
      <c r="E476" s="31"/>
    </row>
    <row r="477">
      <c r="D477" s="31"/>
      <c r="E477" s="31"/>
    </row>
    <row r="478">
      <c r="D478" s="31"/>
      <c r="E478" s="31"/>
    </row>
    <row r="479">
      <c r="D479" s="31"/>
      <c r="E479" s="31"/>
    </row>
    <row r="480">
      <c r="D480" s="31"/>
      <c r="E480" s="31"/>
    </row>
    <row r="481">
      <c r="D481" s="31"/>
      <c r="E481" s="31"/>
    </row>
    <row r="482">
      <c r="D482" s="31"/>
      <c r="E482" s="31"/>
    </row>
    <row r="483">
      <c r="D483" s="31"/>
      <c r="E483" s="31"/>
    </row>
    <row r="484">
      <c r="D484" s="31"/>
      <c r="E484" s="31"/>
    </row>
    <row r="485">
      <c r="D485" s="31"/>
      <c r="E485" s="31"/>
    </row>
    <row r="486">
      <c r="D486" s="31"/>
      <c r="E486" s="31"/>
    </row>
    <row r="487">
      <c r="D487" s="31"/>
      <c r="E487" s="31"/>
    </row>
    <row r="488">
      <c r="D488" s="31"/>
      <c r="E488" s="31"/>
    </row>
    <row r="489">
      <c r="D489" s="31"/>
      <c r="E489" s="31"/>
    </row>
    <row r="490">
      <c r="D490" s="31"/>
      <c r="E490" s="31"/>
    </row>
    <row r="491">
      <c r="D491" s="31"/>
      <c r="E491" s="31"/>
    </row>
    <row r="492">
      <c r="D492" s="31"/>
      <c r="E492" s="31"/>
    </row>
    <row r="493">
      <c r="D493" s="31"/>
      <c r="E493" s="31"/>
    </row>
    <row r="494">
      <c r="D494" s="31"/>
      <c r="E494" s="31"/>
    </row>
    <row r="495">
      <c r="D495" s="31"/>
      <c r="E495" s="31"/>
    </row>
    <row r="496">
      <c r="D496" s="31"/>
      <c r="E496" s="31"/>
    </row>
    <row r="497">
      <c r="D497" s="31"/>
      <c r="E497" s="31"/>
    </row>
    <row r="498">
      <c r="D498" s="31"/>
      <c r="E498" s="31"/>
    </row>
    <row r="499">
      <c r="D499" s="31"/>
      <c r="E499" s="31"/>
    </row>
    <row r="500">
      <c r="D500" s="31"/>
      <c r="E500" s="31"/>
    </row>
    <row r="501">
      <c r="D501" s="31"/>
      <c r="E501" s="31"/>
    </row>
    <row r="502">
      <c r="D502" s="31"/>
      <c r="E502" s="31"/>
    </row>
    <row r="503">
      <c r="D503" s="31"/>
      <c r="E503" s="31"/>
    </row>
    <row r="504">
      <c r="D504" s="31"/>
      <c r="E504" s="31"/>
    </row>
    <row r="505">
      <c r="D505" s="31"/>
      <c r="E505" s="31"/>
    </row>
    <row r="506">
      <c r="D506" s="31"/>
      <c r="E506" s="31"/>
    </row>
    <row r="507">
      <c r="D507" s="31"/>
      <c r="E507" s="31"/>
    </row>
    <row r="508">
      <c r="D508" s="31"/>
      <c r="E508" s="31"/>
    </row>
    <row r="509">
      <c r="D509" s="31"/>
      <c r="E509" s="31"/>
    </row>
    <row r="510">
      <c r="D510" s="31"/>
      <c r="E510" s="31"/>
    </row>
    <row r="511">
      <c r="D511" s="31"/>
      <c r="E511" s="31"/>
    </row>
    <row r="512">
      <c r="D512" s="31"/>
      <c r="E512" s="31"/>
    </row>
    <row r="513">
      <c r="D513" s="31"/>
      <c r="E513" s="31"/>
    </row>
    <row r="514">
      <c r="D514" s="31"/>
      <c r="E514" s="31"/>
    </row>
    <row r="515">
      <c r="D515" s="31"/>
      <c r="E515" s="31"/>
    </row>
    <row r="516">
      <c r="D516" s="31"/>
      <c r="E516" s="31"/>
    </row>
    <row r="517">
      <c r="D517" s="31"/>
      <c r="E517" s="31"/>
    </row>
    <row r="518">
      <c r="D518" s="31"/>
      <c r="E518" s="31"/>
    </row>
    <row r="519">
      <c r="D519" s="31"/>
      <c r="E519" s="31"/>
    </row>
    <row r="520">
      <c r="D520" s="31"/>
      <c r="E520" s="31"/>
    </row>
    <row r="521">
      <c r="D521" s="31"/>
      <c r="E521" s="31"/>
    </row>
    <row r="522">
      <c r="D522" s="31"/>
      <c r="E522" s="31"/>
    </row>
    <row r="523">
      <c r="D523" s="31"/>
      <c r="E523" s="31"/>
    </row>
    <row r="524">
      <c r="D524" s="31"/>
      <c r="E524" s="31"/>
    </row>
    <row r="525">
      <c r="D525" s="31"/>
      <c r="E525" s="31"/>
    </row>
    <row r="526">
      <c r="D526" s="31"/>
      <c r="E526" s="31"/>
    </row>
    <row r="527">
      <c r="D527" s="31"/>
      <c r="E527" s="31"/>
    </row>
    <row r="528">
      <c r="D528" s="31"/>
      <c r="E528" s="31"/>
    </row>
    <row r="529">
      <c r="D529" s="31"/>
      <c r="E529" s="31"/>
    </row>
    <row r="530">
      <c r="D530" s="31"/>
      <c r="E530" s="31"/>
    </row>
    <row r="531">
      <c r="D531" s="31"/>
      <c r="E531" s="31"/>
    </row>
    <row r="532">
      <c r="D532" s="31"/>
      <c r="E532" s="31"/>
    </row>
    <row r="533">
      <c r="D533" s="31"/>
      <c r="E533" s="31"/>
    </row>
    <row r="534">
      <c r="D534" s="31"/>
      <c r="E534" s="31"/>
    </row>
    <row r="535">
      <c r="D535" s="31"/>
      <c r="E535" s="31"/>
    </row>
    <row r="536">
      <c r="D536" s="31"/>
      <c r="E536" s="31"/>
    </row>
    <row r="537">
      <c r="D537" s="31"/>
      <c r="E537" s="31"/>
    </row>
    <row r="538">
      <c r="D538" s="31"/>
      <c r="E538" s="31"/>
    </row>
    <row r="539">
      <c r="D539" s="31"/>
      <c r="E539" s="31"/>
    </row>
    <row r="540">
      <c r="D540" s="31"/>
      <c r="E540" s="31"/>
    </row>
    <row r="541">
      <c r="D541" s="31"/>
      <c r="E541" s="31"/>
    </row>
    <row r="542">
      <c r="D542" s="31"/>
      <c r="E542" s="31"/>
    </row>
    <row r="543">
      <c r="D543" s="31"/>
      <c r="E543" s="31"/>
    </row>
    <row r="544">
      <c r="D544" s="31"/>
      <c r="E544" s="31"/>
    </row>
    <row r="545">
      <c r="D545" s="31"/>
      <c r="E545" s="31"/>
    </row>
    <row r="546">
      <c r="D546" s="31"/>
      <c r="E546" s="31"/>
    </row>
    <row r="547">
      <c r="D547" s="31"/>
      <c r="E547" s="31"/>
    </row>
    <row r="548">
      <c r="D548" s="31"/>
      <c r="E548" s="31"/>
    </row>
    <row r="549">
      <c r="D549" s="31"/>
      <c r="E549" s="31"/>
    </row>
    <row r="550">
      <c r="D550" s="31"/>
      <c r="E550" s="31"/>
    </row>
    <row r="551">
      <c r="D551" s="31"/>
      <c r="E551" s="31"/>
    </row>
    <row r="552">
      <c r="D552" s="31"/>
      <c r="E552" s="31"/>
    </row>
    <row r="553">
      <c r="D553" s="31"/>
      <c r="E553" s="31"/>
    </row>
    <row r="554">
      <c r="D554" s="31"/>
      <c r="E554" s="31"/>
    </row>
    <row r="555">
      <c r="D555" s="31"/>
      <c r="E555" s="31"/>
    </row>
    <row r="556">
      <c r="D556" s="31"/>
      <c r="E556" s="31"/>
    </row>
    <row r="557">
      <c r="D557" s="31"/>
      <c r="E557" s="31"/>
    </row>
    <row r="558">
      <c r="D558" s="31"/>
      <c r="E558" s="31"/>
    </row>
    <row r="559">
      <c r="D559" s="31"/>
      <c r="E559" s="31"/>
    </row>
    <row r="560">
      <c r="D560" s="31"/>
      <c r="E560" s="31"/>
    </row>
    <row r="561">
      <c r="D561" s="31"/>
      <c r="E561" s="31"/>
    </row>
    <row r="562">
      <c r="D562" s="31"/>
      <c r="E562" s="31"/>
    </row>
    <row r="563">
      <c r="D563" s="31"/>
      <c r="E563" s="31"/>
    </row>
    <row r="564">
      <c r="D564" s="31"/>
      <c r="E564" s="31"/>
    </row>
    <row r="565">
      <c r="D565" s="31"/>
      <c r="E565" s="31"/>
    </row>
    <row r="566">
      <c r="D566" s="31"/>
      <c r="E566" s="31"/>
    </row>
    <row r="567">
      <c r="D567" s="31"/>
      <c r="E567" s="31"/>
    </row>
    <row r="568">
      <c r="D568" s="31"/>
      <c r="E568" s="31"/>
    </row>
    <row r="569">
      <c r="D569" s="31"/>
      <c r="E569" s="31"/>
    </row>
    <row r="570">
      <c r="D570" s="31"/>
      <c r="E570" s="31"/>
    </row>
    <row r="571">
      <c r="D571" s="31"/>
      <c r="E571" s="31"/>
    </row>
    <row r="572">
      <c r="D572" s="31"/>
      <c r="E572" s="31"/>
    </row>
    <row r="573">
      <c r="D573" s="31"/>
      <c r="E573" s="31"/>
    </row>
    <row r="574">
      <c r="D574" s="31"/>
      <c r="E574" s="31"/>
    </row>
    <row r="575">
      <c r="D575" s="31"/>
      <c r="E575" s="31"/>
    </row>
    <row r="576">
      <c r="D576" s="31"/>
      <c r="E576" s="31"/>
    </row>
    <row r="577">
      <c r="D577" s="31"/>
      <c r="E577" s="31"/>
    </row>
    <row r="578">
      <c r="D578" s="31"/>
      <c r="E578" s="31"/>
    </row>
    <row r="579">
      <c r="D579" s="31"/>
      <c r="E579" s="31"/>
    </row>
    <row r="580">
      <c r="D580" s="31"/>
      <c r="E580" s="31"/>
    </row>
    <row r="581">
      <c r="D581" s="31"/>
      <c r="E581" s="31"/>
    </row>
    <row r="582">
      <c r="D582" s="31"/>
      <c r="E582" s="31"/>
    </row>
    <row r="583">
      <c r="D583" s="31"/>
      <c r="E583" s="31"/>
    </row>
    <row r="584">
      <c r="D584" s="31"/>
      <c r="E584" s="31"/>
    </row>
    <row r="585">
      <c r="D585" s="31"/>
      <c r="E585" s="31"/>
    </row>
    <row r="586">
      <c r="D586" s="31"/>
      <c r="E586" s="31"/>
    </row>
    <row r="587">
      <c r="D587" s="31"/>
      <c r="E587" s="31"/>
    </row>
    <row r="588">
      <c r="D588" s="31"/>
      <c r="E588" s="31"/>
    </row>
    <row r="589">
      <c r="D589" s="31"/>
      <c r="E589" s="31"/>
    </row>
    <row r="590">
      <c r="D590" s="31"/>
      <c r="E590" s="31"/>
    </row>
    <row r="591">
      <c r="D591" s="31"/>
      <c r="E591" s="31"/>
    </row>
    <row r="592">
      <c r="D592" s="31"/>
      <c r="E592" s="31"/>
    </row>
    <row r="593">
      <c r="D593" s="31"/>
      <c r="E593" s="31"/>
    </row>
    <row r="594">
      <c r="D594" s="31"/>
      <c r="E594" s="31"/>
    </row>
    <row r="595">
      <c r="D595" s="31"/>
      <c r="E595" s="31"/>
    </row>
    <row r="596">
      <c r="D596" s="31"/>
      <c r="E596" s="31"/>
    </row>
    <row r="597">
      <c r="D597" s="31"/>
      <c r="E597" s="31"/>
    </row>
    <row r="598">
      <c r="D598" s="31"/>
      <c r="E598" s="31"/>
    </row>
    <row r="599">
      <c r="D599" s="31"/>
      <c r="E599" s="31"/>
    </row>
    <row r="600">
      <c r="D600" s="31"/>
      <c r="E600" s="31"/>
    </row>
    <row r="601">
      <c r="D601" s="31"/>
      <c r="E601" s="31"/>
    </row>
    <row r="602">
      <c r="D602" s="31"/>
      <c r="E602" s="31"/>
    </row>
    <row r="603">
      <c r="D603" s="31"/>
      <c r="E603" s="31"/>
    </row>
    <row r="604">
      <c r="D604" s="31"/>
      <c r="E604" s="31"/>
    </row>
    <row r="605">
      <c r="D605" s="31"/>
      <c r="E605" s="31"/>
    </row>
    <row r="606">
      <c r="D606" s="31"/>
      <c r="E606" s="31"/>
    </row>
    <row r="607">
      <c r="D607" s="31"/>
      <c r="E607" s="31"/>
    </row>
    <row r="608">
      <c r="D608" s="31"/>
      <c r="E608" s="31"/>
    </row>
    <row r="609">
      <c r="D609" s="31"/>
      <c r="E609" s="31"/>
    </row>
    <row r="610">
      <c r="D610" s="31"/>
      <c r="E610" s="31"/>
    </row>
    <row r="611">
      <c r="D611" s="31"/>
      <c r="E611" s="31"/>
    </row>
    <row r="612">
      <c r="D612" s="31"/>
      <c r="E612" s="31"/>
    </row>
    <row r="613">
      <c r="D613" s="31"/>
      <c r="E613" s="31"/>
    </row>
    <row r="614">
      <c r="D614" s="31"/>
      <c r="E614" s="31"/>
    </row>
    <row r="615">
      <c r="D615" s="31"/>
      <c r="E615" s="31"/>
    </row>
    <row r="616">
      <c r="D616" s="31"/>
      <c r="E616" s="31"/>
    </row>
    <row r="617">
      <c r="D617" s="31"/>
      <c r="E617" s="31"/>
    </row>
    <row r="618">
      <c r="D618" s="31"/>
      <c r="E618" s="31"/>
    </row>
    <row r="619">
      <c r="D619" s="31"/>
      <c r="E619" s="31"/>
    </row>
    <row r="620">
      <c r="D620" s="31"/>
      <c r="E620" s="31"/>
    </row>
    <row r="621">
      <c r="D621" s="31"/>
      <c r="E621" s="31"/>
    </row>
    <row r="622">
      <c r="D622" s="31"/>
      <c r="E622" s="31"/>
    </row>
    <row r="623">
      <c r="D623" s="31"/>
      <c r="E623" s="31"/>
    </row>
    <row r="624">
      <c r="D624" s="31"/>
      <c r="E624" s="31"/>
    </row>
    <row r="625">
      <c r="D625" s="31"/>
      <c r="E625" s="31"/>
    </row>
    <row r="626">
      <c r="D626" s="31"/>
      <c r="E626" s="31"/>
    </row>
    <row r="627">
      <c r="D627" s="31"/>
      <c r="E627" s="31"/>
    </row>
    <row r="628">
      <c r="D628" s="31"/>
      <c r="E628" s="31"/>
    </row>
    <row r="629">
      <c r="D629" s="31"/>
      <c r="E629" s="31"/>
    </row>
    <row r="630">
      <c r="D630" s="31"/>
      <c r="E630" s="31"/>
    </row>
    <row r="631">
      <c r="D631" s="31"/>
      <c r="E631" s="31"/>
    </row>
    <row r="632">
      <c r="D632" s="31"/>
      <c r="E632" s="31"/>
    </row>
    <row r="633">
      <c r="D633" s="31"/>
      <c r="E633" s="31"/>
    </row>
    <row r="634">
      <c r="D634" s="31"/>
      <c r="E634" s="31"/>
    </row>
    <row r="635">
      <c r="D635" s="31"/>
      <c r="E635" s="31"/>
    </row>
    <row r="636">
      <c r="D636" s="31"/>
      <c r="E636" s="31"/>
    </row>
    <row r="637">
      <c r="D637" s="31"/>
      <c r="E637" s="31"/>
    </row>
    <row r="638">
      <c r="D638" s="31"/>
      <c r="E638" s="31"/>
    </row>
    <row r="639">
      <c r="D639" s="31"/>
      <c r="E639" s="31"/>
    </row>
    <row r="640">
      <c r="D640" s="31"/>
      <c r="E640" s="31"/>
    </row>
    <row r="641">
      <c r="D641" s="31"/>
      <c r="E641" s="31"/>
    </row>
    <row r="642">
      <c r="D642" s="31"/>
      <c r="E642" s="31"/>
    </row>
    <row r="643">
      <c r="D643" s="31"/>
      <c r="E643" s="31"/>
    </row>
    <row r="644">
      <c r="D644" s="31"/>
      <c r="E644" s="31"/>
    </row>
    <row r="645">
      <c r="D645" s="31"/>
      <c r="E645" s="31"/>
    </row>
    <row r="646">
      <c r="D646" s="31"/>
      <c r="E646" s="31"/>
    </row>
    <row r="647">
      <c r="D647" s="31"/>
      <c r="E647" s="31"/>
    </row>
    <row r="648">
      <c r="D648" s="31"/>
      <c r="E648" s="31"/>
    </row>
    <row r="649">
      <c r="D649" s="31"/>
      <c r="E649" s="31"/>
    </row>
    <row r="650">
      <c r="D650" s="31"/>
      <c r="E650" s="31"/>
    </row>
    <row r="651">
      <c r="D651" s="31"/>
      <c r="E651" s="31"/>
    </row>
    <row r="652">
      <c r="D652" s="31"/>
      <c r="E652" s="31"/>
    </row>
    <row r="653">
      <c r="D653" s="31"/>
      <c r="E653" s="31"/>
    </row>
    <row r="654">
      <c r="D654" s="31"/>
      <c r="E654" s="31"/>
    </row>
    <row r="655">
      <c r="D655" s="31"/>
      <c r="E655" s="31"/>
    </row>
    <row r="656">
      <c r="D656" s="31"/>
      <c r="E656" s="31"/>
    </row>
    <row r="657">
      <c r="D657" s="31"/>
      <c r="E657" s="31"/>
    </row>
    <row r="658">
      <c r="D658" s="31"/>
      <c r="E658" s="31"/>
    </row>
    <row r="659">
      <c r="D659" s="31"/>
      <c r="E659" s="31"/>
    </row>
    <row r="660">
      <c r="D660" s="31"/>
      <c r="E660" s="31"/>
    </row>
    <row r="661">
      <c r="D661" s="31"/>
      <c r="E661" s="31"/>
    </row>
    <row r="662">
      <c r="D662" s="31"/>
      <c r="E662" s="31"/>
    </row>
    <row r="663">
      <c r="D663" s="31"/>
      <c r="E663" s="31"/>
    </row>
    <row r="664">
      <c r="D664" s="31"/>
      <c r="E664" s="31"/>
    </row>
    <row r="665">
      <c r="D665" s="31"/>
      <c r="E665" s="31"/>
    </row>
    <row r="666">
      <c r="D666" s="31"/>
      <c r="E666" s="31"/>
    </row>
    <row r="667">
      <c r="D667" s="31"/>
      <c r="E667" s="31"/>
    </row>
    <row r="668">
      <c r="D668" s="31"/>
      <c r="E668" s="31"/>
    </row>
    <row r="669">
      <c r="D669" s="31"/>
      <c r="E669" s="31"/>
    </row>
    <row r="670">
      <c r="D670" s="31"/>
      <c r="E670" s="31"/>
    </row>
    <row r="671">
      <c r="D671" s="31"/>
      <c r="E671" s="31"/>
    </row>
    <row r="672">
      <c r="D672" s="31"/>
      <c r="E672" s="31"/>
    </row>
    <row r="673">
      <c r="D673" s="31"/>
      <c r="E673" s="31"/>
    </row>
    <row r="674">
      <c r="D674" s="31"/>
      <c r="E674" s="31"/>
    </row>
    <row r="675">
      <c r="D675" s="31"/>
      <c r="E675" s="31"/>
    </row>
    <row r="676">
      <c r="D676" s="31"/>
      <c r="E676" s="31"/>
    </row>
    <row r="677">
      <c r="D677" s="31"/>
      <c r="E677" s="31"/>
    </row>
    <row r="678">
      <c r="D678" s="31"/>
      <c r="E678" s="31"/>
    </row>
    <row r="679">
      <c r="D679" s="31"/>
      <c r="E679" s="31"/>
    </row>
    <row r="680">
      <c r="D680" s="31"/>
      <c r="E680" s="31"/>
    </row>
    <row r="681">
      <c r="D681" s="31"/>
      <c r="E681" s="31"/>
    </row>
    <row r="682">
      <c r="D682" s="31"/>
      <c r="E682" s="31"/>
    </row>
    <row r="683">
      <c r="D683" s="31"/>
      <c r="E683" s="31"/>
    </row>
    <row r="684">
      <c r="D684" s="31"/>
      <c r="E684" s="31"/>
    </row>
    <row r="685">
      <c r="D685" s="31"/>
      <c r="E685" s="31"/>
    </row>
    <row r="686">
      <c r="D686" s="31"/>
      <c r="E686" s="31"/>
    </row>
    <row r="687">
      <c r="D687" s="31"/>
      <c r="E687" s="31"/>
    </row>
    <row r="688">
      <c r="D688" s="31"/>
      <c r="E688" s="31"/>
    </row>
    <row r="689">
      <c r="D689" s="31"/>
      <c r="E689" s="31"/>
    </row>
    <row r="690">
      <c r="D690" s="31"/>
      <c r="E690" s="31"/>
    </row>
    <row r="691">
      <c r="D691" s="31"/>
      <c r="E691" s="31"/>
    </row>
    <row r="692">
      <c r="D692" s="31"/>
      <c r="E692" s="31"/>
    </row>
    <row r="693">
      <c r="D693" s="31"/>
      <c r="E693" s="31"/>
    </row>
    <row r="694">
      <c r="D694" s="31"/>
      <c r="E694" s="31"/>
    </row>
    <row r="695">
      <c r="D695" s="31"/>
      <c r="E695" s="31"/>
    </row>
    <row r="696">
      <c r="D696" s="31"/>
      <c r="E696" s="31"/>
    </row>
    <row r="697">
      <c r="D697" s="31"/>
      <c r="E697" s="31"/>
    </row>
    <row r="698">
      <c r="D698" s="31"/>
      <c r="E698" s="31"/>
    </row>
    <row r="699">
      <c r="D699" s="31"/>
      <c r="E699" s="31"/>
    </row>
    <row r="700">
      <c r="D700" s="31"/>
      <c r="E700" s="31"/>
    </row>
    <row r="701">
      <c r="D701" s="31"/>
      <c r="E701" s="31"/>
    </row>
    <row r="702">
      <c r="D702" s="31"/>
      <c r="E702" s="31"/>
    </row>
    <row r="703">
      <c r="D703" s="31"/>
      <c r="E703" s="31"/>
    </row>
    <row r="704">
      <c r="D704" s="31"/>
      <c r="E704" s="31"/>
    </row>
    <row r="705">
      <c r="D705" s="31"/>
      <c r="E705" s="31"/>
    </row>
    <row r="706">
      <c r="D706" s="31"/>
      <c r="E706" s="31"/>
    </row>
    <row r="707">
      <c r="D707" s="31"/>
      <c r="E707" s="31"/>
    </row>
    <row r="708">
      <c r="D708" s="31"/>
      <c r="E708" s="31"/>
    </row>
    <row r="709">
      <c r="D709" s="31"/>
      <c r="E709" s="31"/>
    </row>
    <row r="710">
      <c r="D710" s="31"/>
      <c r="E710" s="31"/>
    </row>
    <row r="711">
      <c r="D711" s="31"/>
      <c r="E711" s="31"/>
    </row>
    <row r="712">
      <c r="D712" s="31"/>
      <c r="E712" s="31"/>
    </row>
    <row r="713">
      <c r="D713" s="31"/>
      <c r="E713" s="31"/>
    </row>
    <row r="714">
      <c r="D714" s="31"/>
      <c r="E714" s="31"/>
    </row>
    <row r="715">
      <c r="D715" s="31"/>
      <c r="E715" s="31"/>
    </row>
    <row r="716">
      <c r="D716" s="31"/>
      <c r="E716" s="31"/>
    </row>
    <row r="717">
      <c r="D717" s="31"/>
      <c r="E717" s="31"/>
    </row>
    <row r="718">
      <c r="D718" s="31"/>
      <c r="E718" s="31"/>
    </row>
    <row r="719">
      <c r="D719" s="31"/>
      <c r="E719" s="31"/>
    </row>
    <row r="720">
      <c r="D720" s="31"/>
      <c r="E720" s="31"/>
    </row>
    <row r="721">
      <c r="D721" s="31"/>
      <c r="E721" s="31"/>
    </row>
    <row r="722">
      <c r="D722" s="31"/>
      <c r="E722" s="31"/>
    </row>
    <row r="723">
      <c r="D723" s="31"/>
      <c r="E723" s="31"/>
    </row>
    <row r="724">
      <c r="D724" s="31"/>
      <c r="E724" s="31"/>
    </row>
    <row r="725">
      <c r="D725" s="31"/>
      <c r="E725" s="31"/>
    </row>
    <row r="726">
      <c r="D726" s="31"/>
      <c r="E726" s="31"/>
    </row>
    <row r="727">
      <c r="D727" s="31"/>
      <c r="E727" s="31"/>
    </row>
    <row r="728">
      <c r="D728" s="31"/>
      <c r="E728" s="31"/>
    </row>
    <row r="729">
      <c r="D729" s="31"/>
      <c r="E729" s="31"/>
    </row>
    <row r="730">
      <c r="D730" s="31"/>
      <c r="E730" s="31"/>
    </row>
    <row r="731">
      <c r="D731" s="31"/>
      <c r="E731" s="31"/>
    </row>
    <row r="732">
      <c r="D732" s="31"/>
      <c r="E732" s="31"/>
    </row>
    <row r="733">
      <c r="D733" s="31"/>
      <c r="E733" s="31"/>
    </row>
    <row r="734">
      <c r="D734" s="31"/>
      <c r="E734" s="31"/>
    </row>
    <row r="735">
      <c r="D735" s="31"/>
      <c r="E735" s="31"/>
    </row>
    <row r="736">
      <c r="D736" s="31"/>
      <c r="E736" s="31"/>
    </row>
    <row r="737">
      <c r="D737" s="31"/>
      <c r="E737" s="31"/>
    </row>
    <row r="738">
      <c r="D738" s="31"/>
      <c r="E738" s="31"/>
    </row>
    <row r="739">
      <c r="D739" s="31"/>
      <c r="E739" s="31"/>
    </row>
    <row r="740">
      <c r="D740" s="31"/>
      <c r="E740" s="31"/>
    </row>
    <row r="741">
      <c r="D741" s="31"/>
      <c r="E741" s="31"/>
    </row>
    <row r="742">
      <c r="D742" s="31"/>
      <c r="E742" s="31"/>
    </row>
    <row r="743">
      <c r="D743" s="31"/>
      <c r="E743" s="31"/>
    </row>
    <row r="744">
      <c r="D744" s="31"/>
      <c r="E744" s="31"/>
    </row>
    <row r="745">
      <c r="D745" s="31"/>
      <c r="E745" s="31"/>
    </row>
    <row r="746">
      <c r="D746" s="31"/>
      <c r="E746" s="31"/>
    </row>
    <row r="747">
      <c r="D747" s="31"/>
      <c r="E747" s="31"/>
    </row>
    <row r="748">
      <c r="D748" s="31"/>
      <c r="E748" s="31"/>
    </row>
    <row r="749">
      <c r="D749" s="31"/>
      <c r="E749" s="31"/>
    </row>
    <row r="750">
      <c r="D750" s="31"/>
      <c r="E750" s="31"/>
    </row>
    <row r="751">
      <c r="D751" s="31"/>
      <c r="E751" s="31"/>
    </row>
    <row r="752">
      <c r="D752" s="31"/>
      <c r="E752" s="31"/>
    </row>
    <row r="753">
      <c r="D753" s="31"/>
      <c r="E753" s="31"/>
    </row>
    <row r="754">
      <c r="D754" s="31"/>
      <c r="E754" s="31"/>
    </row>
    <row r="755">
      <c r="D755" s="31"/>
      <c r="E755" s="31"/>
    </row>
    <row r="756">
      <c r="D756" s="31"/>
      <c r="E756" s="31"/>
    </row>
    <row r="757">
      <c r="D757" s="31"/>
      <c r="E757" s="31"/>
    </row>
    <row r="758">
      <c r="D758" s="31"/>
      <c r="E758" s="31"/>
    </row>
    <row r="759">
      <c r="D759" s="31"/>
      <c r="E759" s="31"/>
    </row>
    <row r="760">
      <c r="D760" s="31"/>
      <c r="E760" s="31"/>
    </row>
    <row r="761">
      <c r="D761" s="31"/>
      <c r="E761" s="31"/>
    </row>
    <row r="762">
      <c r="D762" s="31"/>
      <c r="E762" s="31"/>
    </row>
    <row r="763">
      <c r="D763" s="31"/>
      <c r="E763" s="31"/>
    </row>
    <row r="764">
      <c r="D764" s="31"/>
      <c r="E764" s="31"/>
    </row>
    <row r="765">
      <c r="D765" s="31"/>
      <c r="E765" s="31"/>
    </row>
    <row r="766">
      <c r="D766" s="31"/>
      <c r="E766" s="31"/>
    </row>
    <row r="767">
      <c r="D767" s="31"/>
      <c r="E767" s="31"/>
    </row>
    <row r="768">
      <c r="D768" s="31"/>
      <c r="E768" s="31"/>
    </row>
    <row r="769">
      <c r="D769" s="31"/>
      <c r="E769" s="31"/>
    </row>
    <row r="770">
      <c r="D770" s="31"/>
      <c r="E770" s="31"/>
    </row>
    <row r="771">
      <c r="D771" s="31"/>
      <c r="E771" s="31"/>
    </row>
    <row r="772">
      <c r="D772" s="31"/>
      <c r="E772" s="31"/>
    </row>
    <row r="773">
      <c r="D773" s="31"/>
      <c r="E773" s="31"/>
    </row>
    <row r="774">
      <c r="D774" s="31"/>
      <c r="E774" s="31"/>
    </row>
    <row r="775">
      <c r="D775" s="31"/>
      <c r="E775" s="31"/>
    </row>
    <row r="776">
      <c r="D776" s="31"/>
      <c r="E776" s="31"/>
    </row>
    <row r="777">
      <c r="D777" s="31"/>
      <c r="E777" s="31"/>
    </row>
    <row r="778">
      <c r="D778" s="31"/>
      <c r="E778" s="31"/>
    </row>
    <row r="779">
      <c r="D779" s="31"/>
      <c r="E779" s="31"/>
    </row>
    <row r="780">
      <c r="D780" s="31"/>
      <c r="E780" s="31"/>
    </row>
    <row r="781">
      <c r="D781" s="31"/>
      <c r="E781" s="31"/>
    </row>
    <row r="782">
      <c r="D782" s="31"/>
      <c r="E782" s="31"/>
    </row>
    <row r="783">
      <c r="D783" s="31"/>
      <c r="E783" s="31"/>
    </row>
    <row r="784">
      <c r="D784" s="31"/>
      <c r="E784" s="31"/>
    </row>
    <row r="785">
      <c r="D785" s="31"/>
      <c r="E785" s="31"/>
    </row>
    <row r="786">
      <c r="D786" s="31"/>
      <c r="E786" s="31"/>
    </row>
    <row r="787">
      <c r="D787" s="31"/>
      <c r="E787" s="31"/>
    </row>
    <row r="788">
      <c r="D788" s="31"/>
      <c r="E788" s="31"/>
    </row>
    <row r="789">
      <c r="D789" s="31"/>
      <c r="E789" s="31"/>
    </row>
    <row r="790">
      <c r="D790" s="31"/>
      <c r="E790" s="31"/>
    </row>
    <row r="791">
      <c r="D791" s="31"/>
      <c r="E791" s="31"/>
    </row>
    <row r="792">
      <c r="D792" s="31"/>
      <c r="E792" s="31"/>
    </row>
    <row r="793">
      <c r="D793" s="31"/>
      <c r="E793" s="31"/>
    </row>
    <row r="794">
      <c r="D794" s="31"/>
      <c r="E794" s="31"/>
    </row>
    <row r="795">
      <c r="D795" s="31"/>
      <c r="E795" s="31"/>
    </row>
    <row r="796">
      <c r="D796" s="31"/>
      <c r="E796" s="31"/>
    </row>
    <row r="797">
      <c r="D797" s="31"/>
      <c r="E797" s="31"/>
    </row>
    <row r="798">
      <c r="D798" s="31"/>
      <c r="E798" s="31"/>
    </row>
    <row r="799">
      <c r="D799" s="31"/>
      <c r="E799" s="31"/>
    </row>
    <row r="800">
      <c r="D800" s="31"/>
      <c r="E800" s="31"/>
    </row>
    <row r="801">
      <c r="D801" s="31"/>
      <c r="E801" s="31"/>
    </row>
    <row r="802">
      <c r="D802" s="31"/>
      <c r="E802" s="31"/>
    </row>
    <row r="803">
      <c r="D803" s="31"/>
      <c r="E803" s="31"/>
    </row>
    <row r="804">
      <c r="D804" s="31"/>
      <c r="E804" s="31"/>
    </row>
    <row r="805">
      <c r="D805" s="31"/>
      <c r="E805" s="31"/>
    </row>
    <row r="806">
      <c r="D806" s="31"/>
      <c r="E806" s="31"/>
    </row>
    <row r="807">
      <c r="D807" s="31"/>
      <c r="E807" s="31"/>
    </row>
    <row r="808">
      <c r="D808" s="31"/>
      <c r="E808" s="31"/>
    </row>
    <row r="809">
      <c r="D809" s="31"/>
      <c r="E809" s="31"/>
    </row>
    <row r="810">
      <c r="D810" s="31"/>
      <c r="E810" s="31"/>
    </row>
    <row r="811">
      <c r="D811" s="31"/>
      <c r="E811" s="31"/>
    </row>
    <row r="812">
      <c r="D812" s="31"/>
      <c r="E812" s="31"/>
    </row>
    <row r="813">
      <c r="D813" s="31"/>
      <c r="E813" s="31"/>
    </row>
    <row r="814">
      <c r="D814" s="31"/>
      <c r="E814" s="31"/>
    </row>
    <row r="815">
      <c r="D815" s="31"/>
      <c r="E815" s="31"/>
    </row>
    <row r="816">
      <c r="D816" s="31"/>
      <c r="E816" s="31"/>
    </row>
    <row r="817">
      <c r="D817" s="31"/>
      <c r="E817" s="31"/>
    </row>
    <row r="818">
      <c r="D818" s="31"/>
      <c r="E818" s="31"/>
    </row>
    <row r="819">
      <c r="D819" s="31"/>
      <c r="E819" s="31"/>
    </row>
    <row r="820">
      <c r="D820" s="31"/>
      <c r="E820" s="31"/>
    </row>
    <row r="821">
      <c r="D821" s="31"/>
      <c r="E821" s="31"/>
    </row>
    <row r="822">
      <c r="D822" s="31"/>
      <c r="E822" s="31"/>
    </row>
    <row r="823">
      <c r="D823" s="31"/>
      <c r="E823" s="31"/>
    </row>
    <row r="824">
      <c r="D824" s="31"/>
      <c r="E824" s="31"/>
    </row>
    <row r="825">
      <c r="D825" s="31"/>
      <c r="E825" s="31"/>
    </row>
    <row r="826">
      <c r="D826" s="31"/>
      <c r="E826" s="31"/>
    </row>
    <row r="827">
      <c r="D827" s="31"/>
      <c r="E827" s="31"/>
    </row>
    <row r="828">
      <c r="D828" s="31"/>
      <c r="E828" s="31"/>
    </row>
    <row r="829">
      <c r="D829" s="31"/>
      <c r="E829" s="31"/>
    </row>
    <row r="830">
      <c r="D830" s="31"/>
      <c r="E830" s="31"/>
    </row>
    <row r="831">
      <c r="D831" s="31"/>
      <c r="E831" s="31"/>
    </row>
    <row r="832">
      <c r="D832" s="31"/>
      <c r="E832" s="31"/>
    </row>
    <row r="833">
      <c r="D833" s="31"/>
      <c r="E833" s="31"/>
    </row>
    <row r="834">
      <c r="D834" s="31"/>
      <c r="E834" s="31"/>
    </row>
    <row r="835">
      <c r="D835" s="31"/>
      <c r="E835" s="31"/>
    </row>
    <row r="836">
      <c r="D836" s="31"/>
      <c r="E836" s="31"/>
    </row>
    <row r="837">
      <c r="D837" s="31"/>
      <c r="E837" s="31"/>
    </row>
    <row r="838">
      <c r="D838" s="31"/>
      <c r="E838" s="31"/>
    </row>
    <row r="839">
      <c r="D839" s="31"/>
      <c r="E839" s="31"/>
    </row>
    <row r="840">
      <c r="D840" s="31"/>
      <c r="E840" s="31"/>
    </row>
    <row r="841">
      <c r="D841" s="31"/>
      <c r="E841" s="31"/>
    </row>
    <row r="842">
      <c r="D842" s="31"/>
      <c r="E842" s="31"/>
    </row>
    <row r="843">
      <c r="D843" s="31"/>
      <c r="E843" s="31"/>
    </row>
    <row r="844">
      <c r="D844" s="31"/>
      <c r="E844" s="31"/>
    </row>
    <row r="845">
      <c r="D845" s="31"/>
      <c r="E845" s="31"/>
    </row>
    <row r="846">
      <c r="D846" s="31"/>
      <c r="E846" s="31"/>
    </row>
    <row r="847">
      <c r="D847" s="31"/>
      <c r="E847" s="31"/>
    </row>
    <row r="848">
      <c r="D848" s="31"/>
      <c r="E848" s="31"/>
    </row>
    <row r="849">
      <c r="D849" s="31"/>
      <c r="E849" s="31"/>
    </row>
    <row r="850">
      <c r="D850" s="31"/>
      <c r="E850" s="31"/>
    </row>
    <row r="851">
      <c r="D851" s="31"/>
      <c r="E851" s="31"/>
    </row>
    <row r="852">
      <c r="D852" s="31"/>
      <c r="E852" s="31"/>
    </row>
    <row r="853">
      <c r="D853" s="31"/>
      <c r="E853" s="31"/>
    </row>
    <row r="854">
      <c r="D854" s="31"/>
      <c r="E854" s="31"/>
    </row>
    <row r="855">
      <c r="D855" s="31"/>
      <c r="E855" s="31"/>
    </row>
    <row r="856">
      <c r="D856" s="31"/>
      <c r="E856" s="31"/>
    </row>
    <row r="857">
      <c r="D857" s="31"/>
      <c r="E857" s="31"/>
    </row>
    <row r="858">
      <c r="D858" s="31"/>
      <c r="E858" s="31"/>
    </row>
    <row r="859">
      <c r="D859" s="31"/>
      <c r="E859" s="31"/>
    </row>
    <row r="860">
      <c r="D860" s="31"/>
      <c r="E860" s="31"/>
    </row>
    <row r="861">
      <c r="D861" s="31"/>
      <c r="E861" s="31"/>
    </row>
    <row r="862">
      <c r="D862" s="31"/>
      <c r="E862" s="31"/>
    </row>
    <row r="863">
      <c r="D863" s="31"/>
      <c r="E863" s="31"/>
    </row>
    <row r="864">
      <c r="D864" s="31"/>
      <c r="E864" s="31"/>
    </row>
    <row r="865">
      <c r="D865" s="31"/>
      <c r="E865" s="31"/>
    </row>
    <row r="866">
      <c r="D866" s="31"/>
      <c r="E866" s="31"/>
    </row>
    <row r="867">
      <c r="D867" s="31"/>
      <c r="E867" s="31"/>
    </row>
    <row r="868">
      <c r="D868" s="31"/>
      <c r="E868" s="31"/>
    </row>
    <row r="869">
      <c r="D869" s="31"/>
      <c r="E869" s="31"/>
    </row>
    <row r="870">
      <c r="D870" s="31"/>
      <c r="E870" s="31"/>
    </row>
    <row r="871">
      <c r="D871" s="31"/>
      <c r="E871" s="31"/>
    </row>
    <row r="872">
      <c r="D872" s="31"/>
      <c r="E872" s="31"/>
    </row>
    <row r="873">
      <c r="D873" s="31"/>
      <c r="E873" s="31"/>
    </row>
    <row r="874">
      <c r="D874" s="31"/>
      <c r="E874" s="31"/>
    </row>
    <row r="875">
      <c r="D875" s="31"/>
      <c r="E875" s="31"/>
    </row>
    <row r="876">
      <c r="D876" s="31"/>
      <c r="E876" s="31"/>
    </row>
    <row r="877">
      <c r="D877" s="31"/>
      <c r="E877" s="31"/>
    </row>
    <row r="878">
      <c r="D878" s="31"/>
      <c r="E878" s="31"/>
    </row>
    <row r="879">
      <c r="D879" s="31"/>
      <c r="E879" s="31"/>
    </row>
    <row r="880">
      <c r="D880" s="31"/>
      <c r="E880" s="31"/>
    </row>
    <row r="881">
      <c r="D881" s="31"/>
      <c r="E881" s="31"/>
    </row>
    <row r="882">
      <c r="D882" s="31"/>
      <c r="E882" s="31"/>
    </row>
    <row r="883">
      <c r="D883" s="31"/>
      <c r="E883" s="31"/>
    </row>
    <row r="884">
      <c r="D884" s="31"/>
      <c r="E884" s="31"/>
    </row>
    <row r="885">
      <c r="D885" s="31"/>
      <c r="E885" s="31"/>
    </row>
    <row r="886">
      <c r="D886" s="31"/>
      <c r="E886" s="31"/>
    </row>
    <row r="887">
      <c r="D887" s="31"/>
      <c r="E887" s="31"/>
    </row>
    <row r="888">
      <c r="D888" s="31"/>
      <c r="E888" s="31"/>
    </row>
    <row r="889">
      <c r="D889" s="31"/>
      <c r="E889" s="31"/>
    </row>
    <row r="890">
      <c r="D890" s="31"/>
      <c r="E890" s="31"/>
    </row>
    <row r="891">
      <c r="D891" s="31"/>
      <c r="E891" s="31"/>
    </row>
    <row r="892">
      <c r="D892" s="31"/>
      <c r="E892" s="31"/>
    </row>
    <row r="893">
      <c r="D893" s="31"/>
      <c r="E893" s="31"/>
    </row>
    <row r="894">
      <c r="D894" s="31"/>
      <c r="E894" s="31"/>
    </row>
    <row r="895">
      <c r="D895" s="31"/>
      <c r="E895" s="31"/>
    </row>
    <row r="896">
      <c r="D896" s="31"/>
      <c r="E896" s="31"/>
    </row>
    <row r="897">
      <c r="D897" s="31"/>
      <c r="E897" s="31"/>
    </row>
    <row r="898">
      <c r="D898" s="31"/>
      <c r="E898" s="31"/>
    </row>
    <row r="899">
      <c r="D899" s="31"/>
      <c r="E899" s="31"/>
    </row>
    <row r="900">
      <c r="D900" s="31"/>
      <c r="E900" s="31"/>
    </row>
    <row r="901">
      <c r="D901" s="31"/>
      <c r="E901" s="31"/>
    </row>
    <row r="902">
      <c r="D902" s="31"/>
      <c r="E902" s="31"/>
    </row>
    <row r="903">
      <c r="D903" s="31"/>
      <c r="E903" s="31"/>
    </row>
    <row r="904">
      <c r="D904" s="31"/>
      <c r="E904" s="31"/>
    </row>
    <row r="905">
      <c r="D905" s="31"/>
      <c r="E905" s="31"/>
    </row>
    <row r="906">
      <c r="D906" s="31"/>
      <c r="E906" s="31"/>
    </row>
    <row r="907">
      <c r="D907" s="31"/>
      <c r="E907" s="31"/>
    </row>
    <row r="908">
      <c r="D908" s="31"/>
      <c r="E908" s="31"/>
    </row>
    <row r="909">
      <c r="D909" s="31"/>
      <c r="E909" s="31"/>
    </row>
    <row r="910">
      <c r="D910" s="31"/>
      <c r="E910" s="31"/>
    </row>
    <row r="911">
      <c r="D911" s="31"/>
      <c r="E911" s="31"/>
    </row>
    <row r="912">
      <c r="D912" s="31"/>
      <c r="E912" s="31"/>
    </row>
    <row r="913">
      <c r="D913" s="31"/>
      <c r="E913" s="31"/>
    </row>
    <row r="914">
      <c r="D914" s="31"/>
      <c r="E914" s="31"/>
    </row>
    <row r="915">
      <c r="D915" s="31"/>
      <c r="E915" s="31"/>
    </row>
    <row r="916">
      <c r="D916" s="31"/>
      <c r="E916" s="31"/>
    </row>
    <row r="917">
      <c r="D917" s="31"/>
      <c r="E917" s="31"/>
    </row>
    <row r="918">
      <c r="D918" s="31"/>
      <c r="E918" s="31"/>
    </row>
    <row r="919">
      <c r="D919" s="31"/>
      <c r="E919" s="31"/>
    </row>
    <row r="920">
      <c r="D920" s="31"/>
      <c r="E920" s="31"/>
    </row>
    <row r="921">
      <c r="D921" s="31"/>
      <c r="E921" s="31"/>
    </row>
    <row r="922">
      <c r="D922" s="31"/>
      <c r="E922" s="31"/>
    </row>
    <row r="923">
      <c r="D923" s="31"/>
      <c r="E923" s="31"/>
    </row>
    <row r="924">
      <c r="D924" s="31"/>
      <c r="E924" s="31"/>
    </row>
    <row r="925">
      <c r="D925" s="31"/>
      <c r="E925" s="31"/>
    </row>
    <row r="926">
      <c r="D926" s="31"/>
      <c r="E926" s="31"/>
    </row>
    <row r="927">
      <c r="D927" s="31"/>
      <c r="E927" s="31"/>
    </row>
    <row r="928">
      <c r="D928" s="31"/>
      <c r="E928" s="31"/>
    </row>
    <row r="929">
      <c r="D929" s="31"/>
      <c r="E929" s="31"/>
    </row>
    <row r="930">
      <c r="D930" s="31"/>
      <c r="E930" s="31"/>
    </row>
    <row r="931">
      <c r="D931" s="31"/>
      <c r="E931" s="31"/>
    </row>
    <row r="932">
      <c r="D932" s="31"/>
      <c r="E932" s="31"/>
    </row>
    <row r="933">
      <c r="D933" s="31"/>
      <c r="E933" s="31"/>
    </row>
    <row r="934">
      <c r="D934" s="31"/>
      <c r="E934" s="31"/>
    </row>
    <row r="935">
      <c r="D935" s="31"/>
      <c r="E935" s="31"/>
    </row>
    <row r="936">
      <c r="D936" s="31"/>
      <c r="E936" s="31"/>
    </row>
    <row r="937">
      <c r="D937" s="31"/>
      <c r="E937" s="31"/>
    </row>
    <row r="938">
      <c r="D938" s="31"/>
      <c r="E938" s="31"/>
    </row>
    <row r="939">
      <c r="D939" s="31"/>
      <c r="E939" s="31"/>
    </row>
    <row r="940">
      <c r="D940" s="31"/>
      <c r="E940" s="31"/>
    </row>
    <row r="941">
      <c r="D941" s="31"/>
      <c r="E941" s="31"/>
    </row>
    <row r="942">
      <c r="D942" s="31"/>
      <c r="E942" s="31"/>
    </row>
    <row r="943">
      <c r="D943" s="31"/>
      <c r="E943" s="31"/>
    </row>
    <row r="944">
      <c r="D944" s="31"/>
      <c r="E944" s="31"/>
    </row>
    <row r="945">
      <c r="D945" s="31"/>
      <c r="E945" s="31"/>
    </row>
    <row r="946">
      <c r="D946" s="31"/>
      <c r="E946" s="31"/>
    </row>
    <row r="947">
      <c r="D947" s="31"/>
      <c r="E947" s="31"/>
    </row>
    <row r="948">
      <c r="D948" s="31"/>
      <c r="E948" s="31"/>
    </row>
    <row r="949">
      <c r="D949" s="31"/>
      <c r="E949" s="31"/>
    </row>
    <row r="950">
      <c r="D950" s="31"/>
      <c r="E950" s="31"/>
    </row>
    <row r="951">
      <c r="D951" s="31"/>
      <c r="E951" s="31"/>
    </row>
    <row r="952">
      <c r="D952" s="31"/>
      <c r="E952" s="31"/>
    </row>
    <row r="953">
      <c r="D953" s="31"/>
      <c r="E953" s="31"/>
    </row>
    <row r="954">
      <c r="D954" s="31"/>
      <c r="E954" s="31"/>
    </row>
    <row r="955">
      <c r="D955" s="31"/>
      <c r="E955" s="31"/>
    </row>
    <row r="956">
      <c r="D956" s="31"/>
      <c r="E956" s="31"/>
    </row>
    <row r="957">
      <c r="D957" s="31"/>
      <c r="E957" s="31"/>
    </row>
    <row r="958">
      <c r="D958" s="31"/>
      <c r="E958" s="31"/>
    </row>
    <row r="959">
      <c r="D959" s="31"/>
      <c r="E959" s="31"/>
    </row>
    <row r="960">
      <c r="D960" s="31"/>
      <c r="E960" s="31"/>
    </row>
    <row r="961">
      <c r="D961" s="31"/>
      <c r="E961" s="31"/>
    </row>
    <row r="962">
      <c r="D962" s="31"/>
      <c r="E962" s="31"/>
    </row>
    <row r="963">
      <c r="D963" s="31"/>
      <c r="E963" s="31"/>
    </row>
    <row r="964">
      <c r="D964" s="31"/>
      <c r="E964" s="31"/>
    </row>
    <row r="965">
      <c r="D965" s="31"/>
      <c r="E965" s="31"/>
    </row>
    <row r="966">
      <c r="D966" s="31"/>
      <c r="E966" s="31"/>
    </row>
    <row r="967">
      <c r="D967" s="31"/>
      <c r="E967" s="31"/>
    </row>
    <row r="968">
      <c r="D968" s="31"/>
      <c r="E968" s="31"/>
    </row>
    <row r="969">
      <c r="D969" s="31"/>
      <c r="E969" s="31"/>
    </row>
    <row r="970">
      <c r="D970" s="31"/>
      <c r="E970" s="31"/>
    </row>
    <row r="971">
      <c r="D971" s="31"/>
      <c r="E971" s="31"/>
    </row>
    <row r="972">
      <c r="D972" s="31"/>
      <c r="E972" s="31"/>
    </row>
    <row r="973">
      <c r="D973" s="31"/>
      <c r="E973" s="31"/>
    </row>
    <row r="974">
      <c r="D974" s="31"/>
      <c r="E974" s="31"/>
    </row>
    <row r="975">
      <c r="D975" s="31"/>
      <c r="E975" s="31"/>
    </row>
    <row r="976">
      <c r="D976" s="31"/>
      <c r="E976" s="31"/>
    </row>
    <row r="977">
      <c r="D977" s="31"/>
      <c r="E977" s="31"/>
    </row>
    <row r="978">
      <c r="D978" s="31"/>
      <c r="E978" s="31"/>
    </row>
    <row r="979">
      <c r="D979" s="31"/>
      <c r="E979" s="31"/>
    </row>
    <row r="980">
      <c r="D980" s="31"/>
      <c r="E980" s="31"/>
    </row>
    <row r="981">
      <c r="D981" s="31"/>
      <c r="E981" s="31"/>
    </row>
    <row r="982">
      <c r="D982" s="31"/>
      <c r="E982" s="31"/>
    </row>
    <row r="983">
      <c r="D983" s="31"/>
      <c r="E983" s="31"/>
    </row>
    <row r="984">
      <c r="D984" s="31"/>
      <c r="E984" s="31"/>
    </row>
    <row r="985">
      <c r="D985" s="31"/>
      <c r="E985" s="31"/>
    </row>
    <row r="986">
      <c r="D986" s="31"/>
      <c r="E986" s="31"/>
    </row>
    <row r="987">
      <c r="D987" s="31"/>
      <c r="E987" s="31"/>
    </row>
    <row r="988">
      <c r="D988" s="31"/>
      <c r="E988" s="31"/>
    </row>
    <row r="989">
      <c r="D989" s="31"/>
      <c r="E989" s="31"/>
    </row>
    <row r="990">
      <c r="D990" s="31"/>
      <c r="E990" s="31"/>
    </row>
    <row r="991">
      <c r="D991" s="31"/>
      <c r="E991" s="31"/>
    </row>
    <row r="992">
      <c r="D992" s="31"/>
      <c r="E992" s="31"/>
    </row>
    <row r="993">
      <c r="D993" s="31"/>
      <c r="E993" s="31"/>
    </row>
    <row r="994">
      <c r="D994" s="31"/>
      <c r="E994" s="31"/>
    </row>
  </sheetData>
  <hyperlinks>
    <hyperlink r:id="rId1" ref="C3"/>
    <hyperlink r:id="rId2" ref="C4"/>
    <hyperlink r:id="rId3" ref="C5"/>
    <hyperlink r:id="rId4" ref="C6"/>
  </hyperlinks>
  <drawing r:id="rId5"/>
</worksheet>
</file>