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it\PGPIProject\"/>
    </mc:Choice>
  </mc:AlternateContent>
  <xr:revisionPtr revIDLastSave="0" documentId="13_ncr:1_{F1A687D2-4FB4-4A18-89E0-A67485F70782}" xr6:coauthVersionLast="45" xr6:coauthVersionMax="45" xr10:uidLastSave="{00000000-0000-0000-0000-000000000000}"/>
  <bookViews>
    <workbookView xWindow="-120" yWindow="-120" windowWidth="20730" windowHeight="11160" activeTab="1" xr2:uid="{DF85E423-6D6D-425A-8C7C-A6D919EDE1EC}"/>
  </bookViews>
  <sheets>
    <sheet name="I+d" sheetId="1" r:id="rId1"/>
    <sheet name="Flujo de Cajas + VAN + TI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3" l="1"/>
  <c r="D23" i="3"/>
  <c r="E23" i="3"/>
  <c r="F23" i="3"/>
  <c r="G23" i="3"/>
  <c r="H23" i="3"/>
  <c r="I23" i="3"/>
  <c r="J23" i="3"/>
  <c r="B23" i="3"/>
  <c r="B24" i="3" s="1"/>
  <c r="B32" i="3" s="1"/>
  <c r="B7" i="3"/>
  <c r="J11" i="3"/>
  <c r="D38" i="1"/>
  <c r="D21" i="1"/>
  <c r="E18" i="3"/>
  <c r="B16" i="3"/>
  <c r="D17" i="1"/>
  <c r="D16" i="1"/>
  <c r="G4" i="3"/>
  <c r="B4" i="3"/>
  <c r="J6" i="3"/>
  <c r="I6" i="3"/>
  <c r="H6" i="3"/>
  <c r="G6" i="3"/>
  <c r="F6" i="3"/>
  <c r="E6" i="3"/>
  <c r="D6" i="3"/>
  <c r="C6" i="3"/>
  <c r="B10" i="3"/>
  <c r="B9" i="3"/>
  <c r="B8" i="3"/>
  <c r="B3" i="3"/>
  <c r="D8" i="1"/>
  <c r="D5" i="1"/>
  <c r="D6" i="1"/>
  <c r="D7" i="1"/>
  <c r="B27" i="3" l="1"/>
  <c r="B35" i="3"/>
  <c r="J24" i="3"/>
  <c r="H24" i="3"/>
  <c r="G24" i="3"/>
  <c r="I24" i="3"/>
  <c r="B17" i="3"/>
  <c r="B18" i="3" s="1"/>
  <c r="D4" i="1"/>
  <c r="J32" i="3" l="1"/>
  <c r="J27" i="3"/>
  <c r="D24" i="3"/>
  <c r="D32" i="3" s="1"/>
  <c r="C24" i="3"/>
  <c r="F24" i="3"/>
  <c r="E24" i="3"/>
  <c r="D14" i="1"/>
  <c r="D20" i="1"/>
  <c r="D13" i="1"/>
  <c r="D11" i="1"/>
  <c r="D19" i="1"/>
  <c r="D35" i="1"/>
  <c r="D33" i="1"/>
  <c r="D31" i="1"/>
  <c r="D30" i="1"/>
  <c r="D29" i="1"/>
  <c r="D26" i="1"/>
  <c r="D12" i="1"/>
  <c r="F27" i="3" l="1"/>
  <c r="B28" i="3" s="1"/>
  <c r="F32" i="3"/>
  <c r="H32" i="3"/>
  <c r="D27" i="1"/>
  <c r="D9" i="1"/>
  <c r="B33" i="3" l="1"/>
  <c r="D37" i="1"/>
  <c r="D39" i="1"/>
</calcChain>
</file>

<file path=xl/sharedStrings.xml><?xml version="1.0" encoding="utf-8"?>
<sst xmlns="http://schemas.openxmlformats.org/spreadsheetml/2006/main" count="103" uniqueCount="93">
  <si>
    <t>GASTOS DE PERSONAL</t>
  </si>
  <si>
    <t>Total gastos de contratación de personal investigador</t>
  </si>
  <si>
    <t>Costes de adquisición de material inventariable</t>
  </si>
  <si>
    <t>Costes de adquisición de material fungible</t>
  </si>
  <si>
    <t>GASTOS COMPLEMENTARIOS</t>
  </si>
  <si>
    <t>Gastos de desplazamiento, viajes, estancias y dietas (derivados del proyecto)</t>
  </si>
  <si>
    <t>TOTAL INCENTIVO SOLICITADO</t>
  </si>
  <si>
    <t>Gastos elegibles</t>
  </si>
  <si>
    <t>GASTOR DE EJECUCIÓN</t>
  </si>
  <si>
    <t>Costes de investigación contractual, conocimientos técnicos y patentes</t>
  </si>
  <si>
    <t>Costes de consultoría, prestación de servicios, suministros, etc</t>
  </si>
  <si>
    <t>Gastos de material de difusión, publicaciones, promoción, catálogos, folletos, carteleria, etc.</t>
  </si>
  <si>
    <t>Otro gastos de funcionamiento derivados de la actividad de investigación</t>
  </si>
  <si>
    <t>Importe Solicitado</t>
  </si>
  <si>
    <t>Fuentes</t>
  </si>
  <si>
    <t>https://www.indeed.es/salaries/analista-de-sistema-Salaries</t>
  </si>
  <si>
    <t>Personal</t>
  </si>
  <si>
    <t>Ordenadores temporales + monitores</t>
  </si>
  <si>
    <t>Nuevo mobiliario de oficina (mesas + sillas)</t>
  </si>
  <si>
    <t>Telefonos mobiles de la compañía</t>
  </si>
  <si>
    <t>https://www.google.com/search?rlz=1C1CHBD_esES870ES870&amp;ei=zG7AXa-rOJClUqWrtogB&amp;q=salario+transportista&amp;oq=salario+transportista&amp;gs_l=psy-ab.3..0j0i30l2j0i8i30l6.3385.4344..4456...0.1..0.106.745.8j1......0....1..gws-wiz.......0i71j0i13j0i13i30j0i8i13i30.jfkqw3BniIg&amp;ved=0ahUKEwivwbnVmNHlAhWQkhQKHaWVDREQ4dUDCAs&amp;uact=5</t>
  </si>
  <si>
    <t>Costes de subcontratación (Transportistas)</t>
  </si>
  <si>
    <t>Viaje de trabajo a los Hospitales</t>
  </si>
  <si>
    <t>Gastos de estancias en Hoteles durante el viaje</t>
  </si>
  <si>
    <t>Dietas</t>
  </si>
  <si>
    <t>Hospitales</t>
  </si>
  <si>
    <t>Folletos de información</t>
  </si>
  <si>
    <t>Seminarios de entrenamiento</t>
  </si>
  <si>
    <t>Gastos de inscripción en congresos y seminarios relacionados con la actividad</t>
  </si>
  <si>
    <t>Investigación de nuevas tecnologias</t>
  </si>
  <si>
    <t>Papel de documentacion</t>
  </si>
  <si>
    <t>Boligrafos</t>
  </si>
  <si>
    <t>Consulta de aspectos legales e eticos del proyecto</t>
  </si>
  <si>
    <t>Gastos en servidores</t>
  </si>
  <si>
    <t>https://www.macnificos.com/qnap-tvs-951x-servidor-nas?gclid=EAIaIQobChMI3L2kkp7R5QIVB_hRCh2NHAl_EAYYBCABEgJP7_D_BwE#sku-QNA0297</t>
  </si>
  <si>
    <t>Duracion en meses</t>
  </si>
  <si>
    <t>Total gastos de contratación de personal programador</t>
  </si>
  <si>
    <t xml:space="preserve">Total gastos de contratación de personal de diseño </t>
  </si>
  <si>
    <t>Total gastos de contratación de personal de documentación</t>
  </si>
  <si>
    <t>https://www.daxx.com/blog/development-trends/it-salaries-software-developer-trends-2019#:~:targetText=Software%20Engineer%20Salaries%20in%20Europe%2C%20February%202019&amp;targetText=French%2C%20Finnish%2C%20and%20Dutch%20developers,to%20%2455K%20per%20year.</t>
  </si>
  <si>
    <t>https://www.glassdoor.es/Sueldos/visual-designer-sueldo-SRCH_KO0,15.htm?countryRedirect=true</t>
  </si>
  <si>
    <t>https://www.google.com/search?rlz=1C1CHBF_esES822ES822&amp;biw=1919&amp;bih=959&amp;ei=-cLFXYyBDsv4aIyzgpAP&amp;q=software+documentation+salary&amp;oq=software+documentation+salary&amp;gs_l=psy-ab.3..0i30.2365.3921..4023...0.0..0.101.818.8j1......0....1..gws-wiz.......0i7i30i19j0i19j0i8i7i30i19j0i13i30i19j0i13i5i30i19j0i7i30.8HAqn6c06bw&amp;ved=0ahUKEwjM4b3SrdvlAhVLPBoKHYyZAPIQ4dUDCAs&amp;uact=5</t>
  </si>
  <si>
    <t>% Impuestos y SS</t>
  </si>
  <si>
    <t>Contingencias comunes</t>
  </si>
  <si>
    <t>FOGASA</t>
  </si>
  <si>
    <t>FP</t>
  </si>
  <si>
    <t>Desempleo</t>
  </si>
  <si>
    <t>Suma total de coste</t>
  </si>
  <si>
    <t>1+E * SB</t>
  </si>
  <si>
    <t>Sueldo neto</t>
  </si>
  <si>
    <t>SB -(SB*T) - IRPF</t>
  </si>
  <si>
    <t>SSCP</t>
  </si>
  <si>
    <t>Amortizaciones</t>
  </si>
  <si>
    <t>Amortizaciones mobiliario</t>
  </si>
  <si>
    <t>Amortizaciones ordenadores</t>
  </si>
  <si>
    <t>Software de diseño</t>
  </si>
  <si>
    <t xml:space="preserve">mobiliario </t>
  </si>
  <si>
    <t>electronico</t>
  </si>
  <si>
    <t>Ingresos</t>
  </si>
  <si>
    <t>Formacion de personal</t>
  </si>
  <si>
    <t>Licencias software</t>
  </si>
  <si>
    <t xml:space="preserve">Personal </t>
  </si>
  <si>
    <t>Fungible</t>
  </si>
  <si>
    <t>Total gastos</t>
  </si>
  <si>
    <t>Diferencia</t>
  </si>
  <si>
    <t>Beneficios</t>
  </si>
  <si>
    <t>Equipamiento: Ordenadores</t>
  </si>
  <si>
    <t>Gastos en investigacion</t>
  </si>
  <si>
    <t>Equipamiento: mobiles</t>
  </si>
  <si>
    <t>Equipamiento: Mobiliario</t>
  </si>
  <si>
    <t>Total ingresos</t>
  </si>
  <si>
    <t>TOTAL CON BENEFICIO Y IVA</t>
  </si>
  <si>
    <t xml:space="preserve">TOTAL CON BENEFICIO </t>
  </si>
  <si>
    <t>Gasto inicial</t>
  </si>
  <si>
    <t>Secuencia</t>
  </si>
  <si>
    <t>Gastos personal</t>
  </si>
  <si>
    <t>VAN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</si>
  <si>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</si>
  <si>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</si>
  <si>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</si>
  <si>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</si>
  <si>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</si>
  <si>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</si>
  <si>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</si>
  <si>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</si>
  <si>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</si>
  <si>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TIR</t>
  </si>
  <si>
    <t>Prestamo 4% semestral</t>
  </si>
  <si>
    <t>No viable</t>
  </si>
  <si>
    <t>Prestamo 11% cuatrimestral</t>
  </si>
  <si>
    <t>Investigaciones</t>
  </si>
  <si>
    <t>Gastos alimenticios</t>
  </si>
  <si>
    <t>Subcontratacion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</si>
</sst>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1" applyNumberFormat="0" applyAlignment="0" applyProtection="0"/>
  </cellStyleXfs>
  <cellXfs count="11">
    <xf numFmtId="0" fontId="0" fillId="0" borderId="0" xfId="0"/>
    <xf numFmtId="0" fontId="2" fillId="3" borderId="0" xfId="2"/>
    <xf numFmtId="0" fontId="3" fillId="4" borderId="1" xfId="3"/>
    <xf numFmtId="0" fontId="5" fillId="0" borderId="0" xfId="5"/>
    <xf numFmtId="0" fontId="1" fillId="2" borderId="0" xfId="1"/>
    <xf numFmtId="0" fontId="4" fillId="5" borderId="2" xfId="4"/>
    <xf numFmtId="10" fontId="1" fillId="2" borderId="0" xfId="1" applyNumberFormat="1"/>
    <xf numFmtId="0" fontId="1" fillId="2" borderId="0" xfId="1" applyBorder="1"/>
    <xf numFmtId="0" fontId="6" fillId="6" borderId="0" xfId="6"/>
    <xf numFmtId="9" fontId="1" fillId="2" borderId="0" xfId="1" applyNumberFormat="1"/>
    <xf numFmtId="0" fontId="7" fillId="7" borderId="1" xfId="7"/>
  </cellXfs>
  <cellStyles count="8">
    <cellStyle name="Bueno" xfId="1" builtinId="26"/>
    <cellStyle name="Cálculo" xfId="7" builtinId="22"/>
    <cellStyle name="Celda de comprobación" xfId="4" builtinId="23"/>
    <cellStyle name="Entrada" xfId="3" builtinId="20"/>
    <cellStyle name="Hipervínculo" xfId="5" builtinId="8"/>
    <cellStyle name="Incorrecto" xfId="6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nificos.com/qnap-tvs-951x-servidor-nas?gclid=EAIaIQobChMI3L2kkp7R5QIVB_hRCh2NHAl_EAYYBCABEgJP7_D_Bw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rlz=1C1CHBD_esES870ES870&amp;ei=zG7AXa-rOJClUqWrtogB&amp;q=salario+transportista&amp;oq=salario+transportista&amp;gs_l=psy-ab.3..0j0i30l2j0i8i30l6.3385.4344..4456...0.1..0.106.745.8j1......0....1..gws-wiz.......0i71j0i13j0i13i30j0i8i13i30.jfkqw3BniIg&amp;ved=0ahUKEwivwbnVmNHlAhWQkhQKHaWVDREQ4dUDCAs&amp;uact=5" TargetMode="External"/><Relationship Id="rId1" Type="http://schemas.openxmlformats.org/officeDocument/2006/relationships/hyperlink" Target="https://www.indeed.es/salaries/analista-de-sistema-Salaries" TargetMode="External"/><Relationship Id="rId6" Type="http://schemas.openxmlformats.org/officeDocument/2006/relationships/hyperlink" Target="https://www.google.com/search?rlz=1C1CHBF_esES822ES822&amp;biw=1919&amp;bih=959&amp;ei=-cLFXYyBDsv4aIyzgpAP&amp;q=software+documentation+salary&amp;oq=software+documentation+salary&amp;gs_l=psy-ab.3..0i30.2365.3921..4023...0.0..0.101.818.8j1......0....1..gws-wiz.......0i7i30i19j0i19j0i8i7i30i19j0i13i30i19j0i13i5i30i19j0i7i30.8HAqn6c06bw&amp;ved=0ahUKEwjM4b3SrdvlAhVLPBoKHYyZAPIQ4dUDCAs&amp;uact=5" TargetMode="External"/><Relationship Id="rId5" Type="http://schemas.openxmlformats.org/officeDocument/2006/relationships/hyperlink" Target="https://www.glassdoor.es/Sueldos/visual-designer-sueldo-SRCH_KO0,15.htm?countryRedirect=true" TargetMode="External"/><Relationship Id="rId4" Type="http://schemas.openxmlformats.org/officeDocument/2006/relationships/hyperlink" Target="https://www.daxx.com/blog/development-trends/it-salaries-software-developer-trends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E267-DA2E-48FF-ABF8-195CAC91C758}">
  <dimension ref="A2:E39"/>
  <sheetViews>
    <sheetView topLeftCell="A21" workbookViewId="0">
      <selection activeCell="B41" sqref="B41"/>
    </sheetView>
  </sheetViews>
  <sheetFormatPr baseColWidth="10" defaultRowHeight="15" x14ac:dyDescent="0.25"/>
  <cols>
    <col min="1" max="1" width="17.85546875" bestFit="1" customWidth="1"/>
    <col min="2" max="2" width="15.28515625" bestFit="1" customWidth="1"/>
    <col min="3" max="3" width="84.42578125" bestFit="1" customWidth="1"/>
    <col min="4" max="4" width="17.42578125" bestFit="1" customWidth="1"/>
  </cols>
  <sheetData>
    <row r="2" spans="1:5" x14ac:dyDescent="0.25">
      <c r="A2" s="1" t="s">
        <v>16</v>
      </c>
      <c r="B2" s="4">
        <v>22</v>
      </c>
    </row>
    <row r="3" spans="1:5" x14ac:dyDescent="0.25">
      <c r="A3" s="1" t="s">
        <v>25</v>
      </c>
      <c r="B3" s="4">
        <v>6</v>
      </c>
      <c r="C3" s="1" t="s">
        <v>7</v>
      </c>
      <c r="D3" s="1" t="s">
        <v>13</v>
      </c>
      <c r="E3" s="1" t="s">
        <v>14</v>
      </c>
    </row>
    <row r="4" spans="1:5" x14ac:dyDescent="0.25">
      <c r="A4" s="1" t="s">
        <v>35</v>
      </c>
      <c r="B4" s="4">
        <v>8</v>
      </c>
      <c r="C4" s="1" t="s">
        <v>0</v>
      </c>
      <c r="D4" s="2">
        <f>SUM(D5:D8)</f>
        <v>70604.205000000002</v>
      </c>
    </row>
    <row r="5" spans="1:5" x14ac:dyDescent="0.25">
      <c r="C5" t="s">
        <v>1</v>
      </c>
      <c r="D5">
        <f>3*(2800*(1+B6))</f>
        <v>11701.2</v>
      </c>
      <c r="E5" s="3" t="s">
        <v>15</v>
      </c>
    </row>
    <row r="6" spans="1:5" x14ac:dyDescent="0.25">
      <c r="A6" s="1" t="s">
        <v>42</v>
      </c>
      <c r="B6" s="6">
        <v>0.39300000000000002</v>
      </c>
      <c r="C6" t="s">
        <v>36</v>
      </c>
      <c r="D6">
        <f>5*(3050*(1+B6))</f>
        <v>21243.25</v>
      </c>
      <c r="E6" s="3" t="s">
        <v>39</v>
      </c>
    </row>
    <row r="7" spans="1:5" x14ac:dyDescent="0.25">
      <c r="A7" s="1" t="s">
        <v>43</v>
      </c>
      <c r="B7" s="4">
        <v>23.6</v>
      </c>
      <c r="C7" t="s">
        <v>37</v>
      </c>
      <c r="D7">
        <f>5*(2887*(1+B6))</f>
        <v>20107.954999999998</v>
      </c>
      <c r="E7" s="3" t="s">
        <v>40</v>
      </c>
    </row>
    <row r="8" spans="1:5" x14ac:dyDescent="0.25">
      <c r="B8" s="4">
        <v>4.7</v>
      </c>
      <c r="C8" t="s">
        <v>38</v>
      </c>
      <c r="D8">
        <f>3*(4200*(1+B6))</f>
        <v>17551.800000000003</v>
      </c>
      <c r="E8" s="3" t="s">
        <v>41</v>
      </c>
    </row>
    <row r="9" spans="1:5" ht="15.75" thickBot="1" x14ac:dyDescent="0.3">
      <c r="A9" s="1" t="s">
        <v>44</v>
      </c>
      <c r="B9" s="4">
        <v>0.12</v>
      </c>
      <c r="C9" s="1" t="s">
        <v>8</v>
      </c>
      <c r="D9" s="2">
        <f>SUM(D10:D26)</f>
        <v>17193.746666666666</v>
      </c>
    </row>
    <row r="10" spans="1:5" ht="16.5" thickTop="1" thickBot="1" x14ac:dyDescent="0.3">
      <c r="A10" s="1" t="s">
        <v>45</v>
      </c>
      <c r="B10" s="4">
        <v>0.6</v>
      </c>
      <c r="C10" s="5" t="s">
        <v>2</v>
      </c>
      <c r="D10" s="5"/>
    </row>
    <row r="11" spans="1:5" ht="15.75" thickTop="1" x14ac:dyDescent="0.25">
      <c r="B11" s="7">
        <v>0.1</v>
      </c>
      <c r="C11" t="s">
        <v>17</v>
      </c>
      <c r="D11">
        <f>((395.1+200)*(B2-2)/2)</f>
        <v>5951</v>
      </c>
    </row>
    <row r="12" spans="1:5" x14ac:dyDescent="0.25">
      <c r="A12" s="1" t="s">
        <v>46</v>
      </c>
      <c r="B12" s="7">
        <v>6.7</v>
      </c>
      <c r="C12" t="s">
        <v>18</v>
      </c>
      <c r="D12">
        <f>(260 * (B2-2)/2)</f>
        <v>2600</v>
      </c>
    </row>
    <row r="13" spans="1:5" x14ac:dyDescent="0.25">
      <c r="B13" s="7">
        <v>1.6</v>
      </c>
      <c r="C13" t="s">
        <v>19</v>
      </c>
      <c r="D13">
        <f>4 * 156.84</f>
        <v>627.36</v>
      </c>
    </row>
    <row r="14" spans="1:5" x14ac:dyDescent="0.25">
      <c r="A14" s="1" t="s">
        <v>51</v>
      </c>
      <c r="C14" t="s">
        <v>33</v>
      </c>
      <c r="D14">
        <f>B3*979</f>
        <v>5874</v>
      </c>
      <c r="E14" s="3" t="s">
        <v>34</v>
      </c>
    </row>
    <row r="15" spans="1:5" x14ac:dyDescent="0.25">
      <c r="C15" t="s">
        <v>55</v>
      </c>
      <c r="D15">
        <v>0</v>
      </c>
      <c r="E15" s="3"/>
    </row>
    <row r="16" spans="1:5" x14ac:dyDescent="0.25">
      <c r="C16" t="s">
        <v>53</v>
      </c>
      <c r="D16">
        <f>-((((D12*0.1)/20)/12)*B4)</f>
        <v>-8.6666666666666661</v>
      </c>
      <c r="E16" s="3"/>
    </row>
    <row r="17" spans="1:5" ht="15.75" thickBot="1" x14ac:dyDescent="0.3">
      <c r="C17" t="s">
        <v>54</v>
      </c>
      <c r="D17">
        <f>-((((D11*0.2)/10)/12)*B4)</f>
        <v>-79.346666666666678</v>
      </c>
      <c r="E17" s="3"/>
    </row>
    <row r="18" spans="1:5" ht="16.5" thickTop="1" thickBot="1" x14ac:dyDescent="0.3">
      <c r="C18" s="5" t="s">
        <v>3</v>
      </c>
      <c r="D18" s="5"/>
    </row>
    <row r="19" spans="1:5" ht="15.75" thickTop="1" x14ac:dyDescent="0.25">
      <c r="C19" t="s">
        <v>31</v>
      </c>
      <c r="D19">
        <f>11.5 * (B2/2)</f>
        <v>126.5</v>
      </c>
    </row>
    <row r="20" spans="1:5" x14ac:dyDescent="0.25">
      <c r="A20" s="1" t="s">
        <v>47</v>
      </c>
      <c r="B20" t="s">
        <v>48</v>
      </c>
      <c r="C20" t="s">
        <v>30</v>
      </c>
      <c r="D20">
        <f>(17.95*(B2-2))</f>
        <v>359</v>
      </c>
    </row>
    <row r="21" spans="1:5" ht="15.75" thickBot="1" x14ac:dyDescent="0.3">
      <c r="A21" s="1" t="s">
        <v>49</v>
      </c>
      <c r="B21" t="s">
        <v>50</v>
      </c>
      <c r="C21" t="s">
        <v>91</v>
      </c>
      <c r="D21">
        <f>((0.39*4)*8)+((1.99+4)*8)</f>
        <v>60.400000000000006</v>
      </c>
    </row>
    <row r="22" spans="1:5" ht="16.5" thickTop="1" thickBot="1" x14ac:dyDescent="0.3">
      <c r="C22" s="5" t="s">
        <v>9</v>
      </c>
      <c r="D22" s="5"/>
    </row>
    <row r="23" spans="1:5" ht="16.5" thickTop="1" thickBot="1" x14ac:dyDescent="0.3">
      <c r="C23" t="s">
        <v>29</v>
      </c>
      <c r="D23">
        <v>500</v>
      </c>
    </row>
    <row r="24" spans="1:5" ht="16.5" thickTop="1" thickBot="1" x14ac:dyDescent="0.3">
      <c r="A24" s="1" t="s">
        <v>56</v>
      </c>
      <c r="B24">
        <v>20</v>
      </c>
      <c r="C24" s="5" t="s">
        <v>10</v>
      </c>
      <c r="D24" s="5"/>
    </row>
    <row r="25" spans="1:5" ht="15.75" thickTop="1" x14ac:dyDescent="0.25">
      <c r="A25" s="1" t="s">
        <v>57</v>
      </c>
      <c r="B25">
        <v>10</v>
      </c>
      <c r="C25" t="s">
        <v>32</v>
      </c>
      <c r="D25">
        <v>700</v>
      </c>
    </row>
    <row r="26" spans="1:5" x14ac:dyDescent="0.25">
      <c r="C26" t="s">
        <v>21</v>
      </c>
      <c r="D26">
        <f>2*(9.67*25)</f>
        <v>483.5</v>
      </c>
      <c r="E26" s="3" t="s">
        <v>20</v>
      </c>
    </row>
    <row r="27" spans="1:5" ht="15.75" thickBot="1" x14ac:dyDescent="0.3">
      <c r="C27" s="1" t="s">
        <v>4</v>
      </c>
      <c r="D27" s="2">
        <f>SUM(D28:D36)</f>
        <v>4880</v>
      </c>
    </row>
    <row r="28" spans="1:5" ht="16.5" thickTop="1" thickBot="1" x14ac:dyDescent="0.3">
      <c r="C28" s="5" t="s">
        <v>5</v>
      </c>
      <c r="D28" s="5"/>
    </row>
    <row r="29" spans="1:5" ht="15.75" thickTop="1" x14ac:dyDescent="0.25">
      <c r="C29" t="s">
        <v>22</v>
      </c>
      <c r="D29">
        <f>(50*12)*B3</f>
        <v>3600</v>
      </c>
    </row>
    <row r="30" spans="1:5" x14ac:dyDescent="0.25">
      <c r="C30" t="s">
        <v>23</v>
      </c>
      <c r="D30">
        <f>(5*20*4)</f>
        <v>400</v>
      </c>
    </row>
    <row r="31" spans="1:5" ht="15.75" thickBot="1" x14ac:dyDescent="0.3">
      <c r="C31" t="s">
        <v>24</v>
      </c>
      <c r="D31">
        <f>40*6</f>
        <v>240</v>
      </c>
    </row>
    <row r="32" spans="1:5" ht="16.5" thickTop="1" thickBot="1" x14ac:dyDescent="0.3">
      <c r="C32" s="5" t="s">
        <v>11</v>
      </c>
      <c r="D32" s="5"/>
    </row>
    <row r="33" spans="3:4" ht="16.5" thickTop="1" thickBot="1" x14ac:dyDescent="0.3">
      <c r="C33" t="s">
        <v>26</v>
      </c>
      <c r="D33">
        <f>200*1.1</f>
        <v>220.00000000000003</v>
      </c>
    </row>
    <row r="34" spans="3:4" ht="16.5" thickTop="1" thickBot="1" x14ac:dyDescent="0.3">
      <c r="C34" s="5" t="s">
        <v>28</v>
      </c>
      <c r="D34" s="5"/>
    </row>
    <row r="35" spans="3:4" ht="15.75" thickTop="1" x14ac:dyDescent="0.25">
      <c r="C35" t="s">
        <v>27</v>
      </c>
      <c r="D35">
        <f>6*70</f>
        <v>420</v>
      </c>
    </row>
    <row r="36" spans="3:4" x14ac:dyDescent="0.25">
      <c r="C36" t="s">
        <v>12</v>
      </c>
      <c r="D36">
        <v>0</v>
      </c>
    </row>
    <row r="37" spans="3:4" x14ac:dyDescent="0.25">
      <c r="C37" s="1" t="s">
        <v>6</v>
      </c>
      <c r="D37" s="2">
        <f>$D$27+$D$9+$D$4</f>
        <v>92677.95166666666</v>
      </c>
    </row>
    <row r="38" spans="3:4" x14ac:dyDescent="0.25">
      <c r="C38" s="1" t="s">
        <v>72</v>
      </c>
      <c r="D38" s="2">
        <f>($D$27+$D$9+$D$4)*1.43</f>
        <v>132529.47088333333</v>
      </c>
    </row>
    <row r="39" spans="3:4" x14ac:dyDescent="0.25">
      <c r="C39" s="1" t="s">
        <v>71</v>
      </c>
      <c r="D39" s="2">
        <f>D38*1.21</f>
        <v>160360.65976883331</v>
      </c>
    </row>
  </sheetData>
  <hyperlinks>
    <hyperlink ref="E5" r:id="rId1" xr:uid="{A5EA3BFF-2177-41FF-88DF-87E944913007}"/>
    <hyperlink ref="E26" r:id="rId2" display="https://www.google.com/search?rlz=1C1CHBD_esES870ES870&amp;ei=zG7AXa-rOJClUqWrtogB&amp;q=salario+transportista&amp;oq=salario+transportista&amp;gs_l=psy-ab.3..0j0i30l2j0i8i30l6.3385.4344..4456...0.1..0.106.745.8j1......0....1..gws-wiz.......0i71j0i13j0i13i30j0i8i13i30.jfkqw3BniIg&amp;ved=0ahUKEwivwbnVmNHlAhWQkhQKHaWVDREQ4dUDCAs&amp;uact=5" xr:uid="{11D9247F-F427-4A5C-811F-A4B70A2A4A08}"/>
    <hyperlink ref="E14" r:id="rId3" location="sku-QNA0297" display="https://www.macnificos.com/qnap-tvs-951x-servidor-nas?gclid=EAIaIQobChMI3L2kkp7R5QIVB_hRCh2NHAl_EAYYBCABEgJP7_D_BwE - sku-QNA0297" xr:uid="{2ACFFC73-A127-4A21-9EB6-E59CC8710761}"/>
    <hyperlink ref="E6" r:id="rId4" location=":~:targetText=Software%20Engineer%20Salaries%20in%20Europe%2C%20February%202019&amp;targetText=French%2C%20Finnish%2C%20and%20Dutch%20developers,to%20%2455K%20per%20year." display="https://www.daxx.com/blog/development-trends/it-salaries-software-developer-trends-2019 - :~:targetText=Software%20Engineer%20Salaries%20in%20Europe%2C%20February%202019&amp;targetText=French%2C%20Finnish%2C%20and%20Dutch%20developers,to%20%2455K%20per%20year." xr:uid="{DD30B966-E32B-43B3-9CC8-80EE81BE6ADA}"/>
    <hyperlink ref="E7" r:id="rId5" xr:uid="{FC7E32F4-1C0D-4DA4-9FAA-98F181F61AE4}"/>
    <hyperlink ref="E8" r:id="rId6" display="https://www.google.com/search?rlz=1C1CHBF_esES822ES822&amp;biw=1919&amp;bih=959&amp;ei=-cLFXYyBDsv4aIyzgpAP&amp;q=software+documentation+salary&amp;oq=software+documentation+salary&amp;gs_l=psy-ab.3..0i30.2365.3921..4023...0.0..0.101.818.8j1......0....1..gws-wiz.......0i7i30i19j0i19j0i8i7i30i19j0i13i30i19j0i13i5i30i19j0i7i30.8HAqn6c06bw&amp;ved=0ahUKEwjM4b3SrdvlAhVLPBoKHYyZAPIQ4dUDCAs&amp;uact=5" xr:uid="{10AD0CDA-24A0-4A67-94C0-58F7E1F37DD7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B4F9-1648-42BA-97DD-2A831C3008FA}">
  <dimension ref="A1:J35"/>
  <sheetViews>
    <sheetView tabSelected="1" topLeftCell="A4" workbookViewId="0">
      <selection activeCell="B23" sqref="B23"/>
    </sheetView>
  </sheetViews>
  <sheetFormatPr baseColWidth="10" defaultRowHeight="15" x14ac:dyDescent="0.25"/>
  <cols>
    <col min="1" max="1" width="26.42578125" bestFit="1" customWidth="1"/>
    <col min="4" max="4" width="15.85546875" customWidth="1"/>
    <col min="10" max="10" width="11.85546875" bestFit="1" customWidth="1"/>
  </cols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 t="s">
        <v>58</v>
      </c>
      <c r="F2">
        <v>70000</v>
      </c>
      <c r="J2">
        <v>90000</v>
      </c>
    </row>
    <row r="3" spans="1:10" x14ac:dyDescent="0.25">
      <c r="A3" s="1" t="s">
        <v>66</v>
      </c>
      <c r="B3">
        <f>-5951</f>
        <v>-5951</v>
      </c>
    </row>
    <row r="4" spans="1:10" x14ac:dyDescent="0.25">
      <c r="A4" s="1" t="s">
        <v>59</v>
      </c>
      <c r="B4">
        <f>-(12*1000)</f>
        <v>-12000</v>
      </c>
      <c r="G4">
        <f>-(10*1000)</f>
        <v>-10000</v>
      </c>
    </row>
    <row r="5" spans="1:10" x14ac:dyDescent="0.25">
      <c r="A5" s="1" t="s">
        <v>60</v>
      </c>
      <c r="B5">
        <v>0</v>
      </c>
    </row>
    <row r="6" spans="1:10" x14ac:dyDescent="0.25">
      <c r="A6" s="1" t="s">
        <v>61</v>
      </c>
      <c r="C6">
        <f>-(E19/8)</f>
        <v>-8825.5256250000002</v>
      </c>
      <c r="D6">
        <f>-8825.525625</f>
        <v>-8825.5256250000002</v>
      </c>
      <c r="E6">
        <f>-8825.525625</f>
        <v>-8825.5256250000002</v>
      </c>
      <c r="F6">
        <f>-8825.525625</f>
        <v>-8825.5256250000002</v>
      </c>
      <c r="G6">
        <f>-8825.525625</f>
        <v>-8825.5256250000002</v>
      </c>
      <c r="H6">
        <f>-8825.525625</f>
        <v>-8825.5256250000002</v>
      </c>
      <c r="I6">
        <f>-8825.525625</f>
        <v>-8825.5256250000002</v>
      </c>
      <c r="J6">
        <f>-8825.525625</f>
        <v>-8825.5256250000002</v>
      </c>
    </row>
    <row r="7" spans="1:10" x14ac:dyDescent="0.25">
      <c r="A7" s="1" t="s">
        <v>62</v>
      </c>
      <c r="B7">
        <f>-(126.5+60.4+359)</f>
        <v>-545.9</v>
      </c>
    </row>
    <row r="8" spans="1:10" x14ac:dyDescent="0.25">
      <c r="A8" s="1" t="s">
        <v>69</v>
      </c>
      <c r="B8">
        <f>-2600</f>
        <v>-2600</v>
      </c>
    </row>
    <row r="9" spans="1:10" x14ac:dyDescent="0.25">
      <c r="A9" s="1" t="s">
        <v>67</v>
      </c>
      <c r="B9">
        <f>-4240</f>
        <v>-4240</v>
      </c>
    </row>
    <row r="10" spans="1:10" x14ac:dyDescent="0.25">
      <c r="A10" s="1" t="s">
        <v>68</v>
      </c>
      <c r="B10">
        <f>-627.36</f>
        <v>-627.36</v>
      </c>
    </row>
    <row r="11" spans="1:10" x14ac:dyDescent="0.25">
      <c r="A11" s="1" t="s">
        <v>52</v>
      </c>
      <c r="J11">
        <f>-((((B3*0.2)/12)/10)*8)+-((((B8*0.1)/20)/12)*8)</f>
        <v>88.013333333333335</v>
      </c>
    </row>
    <row r="12" spans="1:10" x14ac:dyDescent="0.25">
      <c r="A12" s="1" t="s">
        <v>92</v>
      </c>
      <c r="J12">
        <v>-483.5</v>
      </c>
    </row>
    <row r="13" spans="1:10" x14ac:dyDescent="0.25">
      <c r="A13" s="1" t="s">
        <v>90</v>
      </c>
      <c r="B13">
        <v>-500</v>
      </c>
    </row>
    <row r="15" spans="1:10" x14ac:dyDescent="0.25">
      <c r="A15" s="1" t="s">
        <v>70</v>
      </c>
      <c r="B15" s="4">
        <v>160360</v>
      </c>
    </row>
    <row r="16" spans="1:10" x14ac:dyDescent="0.25">
      <c r="A16" s="1" t="s">
        <v>63</v>
      </c>
      <c r="B16" s="4">
        <f>-(SUM(B3:J13))</f>
        <v>107463.95166666665</v>
      </c>
    </row>
    <row r="17" spans="1:10" x14ac:dyDescent="0.25">
      <c r="A17" s="1" t="s">
        <v>64</v>
      </c>
      <c r="B17" s="4">
        <f>B15-B16</f>
        <v>52896.048333333354</v>
      </c>
    </row>
    <row r="18" spans="1:10" x14ac:dyDescent="0.25">
      <c r="A18" s="1" t="s">
        <v>65</v>
      </c>
      <c r="B18" s="4">
        <f>B17*0.21</f>
        <v>11108.170150000004</v>
      </c>
      <c r="D18" s="1" t="s">
        <v>73</v>
      </c>
      <c r="E18">
        <f>-(SUM(B3:B13))</f>
        <v>26464.260000000002</v>
      </c>
    </row>
    <row r="19" spans="1:10" x14ac:dyDescent="0.25">
      <c r="D19" s="1" t="s">
        <v>75</v>
      </c>
      <c r="E19">
        <v>70604.205000000002</v>
      </c>
    </row>
    <row r="22" spans="1:10" ht="15.75" thickBot="1" x14ac:dyDescent="0.3"/>
    <row r="23" spans="1:10" ht="16.5" thickTop="1" thickBot="1" x14ac:dyDescent="0.3">
      <c r="A23" s="5" t="s">
        <v>74</v>
      </c>
      <c r="B23">
        <f>SUM(B2:B13)</f>
        <v>-26464.260000000002</v>
      </c>
      <c r="C23">
        <f>SUM(C2:C13)</f>
        <v>-8825.5256250000002</v>
      </c>
      <c r="D23">
        <f>SUM(D2:D13)</f>
        <v>-8825.5256250000002</v>
      </c>
      <c r="E23">
        <f>SUM(E2:E13)</f>
        <v>-8825.5256250000002</v>
      </c>
      <c r="F23">
        <f>SUM(F2:F13)</f>
        <v>61174.474374999998</v>
      </c>
      <c r="G23">
        <f>SUM(G2:G13)</f>
        <v>-18825.525625000002</v>
      </c>
      <c r="H23">
        <f>SUM(H2:H13)</f>
        <v>-8825.5256250000002</v>
      </c>
      <c r="I23">
        <f>SUM(I2:I13)</f>
        <v>-8825.5256250000002</v>
      </c>
      <c r="J23">
        <f>SUM(J2:J13)</f>
        <v>80778.987708333341</v>
      </c>
    </row>
    <row r="24" spans="1:10" ht="15.75" thickTop="1" x14ac:dyDescent="0.25">
      <c r="B24">
        <f>B23</f>
        <v>-26464.260000000002</v>
      </c>
      <c r="C24">
        <f>SUM(B23:C23)</f>
        <v>-35289.785625000004</v>
      </c>
      <c r="D24">
        <f>SUM(B23:D23)</f>
        <v>-44115.311250000006</v>
      </c>
      <c r="E24">
        <f>SUM(B23:E23)</f>
        <v>-52940.836875000008</v>
      </c>
      <c r="F24">
        <f>SUM(B23:F23)</f>
        <v>8233.6374999999898</v>
      </c>
      <c r="G24">
        <f>SUM(B23:G23)</f>
        <v>-10591.888125000012</v>
      </c>
      <c r="H24">
        <f>SUM(B23:H23)</f>
        <v>-19417.413750000014</v>
      </c>
      <c r="I24">
        <f>SUM(B23:I23)</f>
        <v>-28242.939375000016</v>
      </c>
      <c r="J24">
        <f>SUM(B23:J23)</f>
        <v>52536.048333333325</v>
      </c>
    </row>
    <row r="25" spans="1:10" ht="15.75" thickBot="1" x14ac:dyDescent="0.3">
      <c r="A25" s="1" t="s">
        <v>89</v>
      </c>
      <c r="B25" s="10">
        <v>0.11</v>
      </c>
    </row>
    <row r="26" spans="1:10" ht="16.5" thickTop="1" thickBot="1" x14ac:dyDescent="0.3">
      <c r="B26" s="5" t="s">
        <v>77</v>
      </c>
      <c r="C26" s="5" t="s">
        <v>78</v>
      </c>
      <c r="D26" s="5" t="s">
        <v>79</v>
      </c>
      <c r="E26" s="5" t="s">
        <v>80</v>
      </c>
      <c r="F26" s="5" t="s">
        <v>81</v>
      </c>
      <c r="G26" s="5" t="s">
        <v>82</v>
      </c>
      <c r="H26" s="5" t="s">
        <v>83</v>
      </c>
      <c r="I26" s="5" t="s">
        <v>84</v>
      </c>
      <c r="J26" s="5" t="s">
        <v>85</v>
      </c>
    </row>
    <row r="27" spans="1:10" ht="15.75" thickTop="1" x14ac:dyDescent="0.25">
      <c r="B27">
        <f>B24</f>
        <v>-26464.260000000002</v>
      </c>
      <c r="F27">
        <f>F24/(1+B25)</f>
        <v>7417.6914414414314</v>
      </c>
      <c r="J27">
        <f>J24/POWER((1+B25), 2)</f>
        <v>42639.435381327261</v>
      </c>
    </row>
    <row r="28" spans="1:10" x14ac:dyDescent="0.25">
      <c r="A28" s="1" t="s">
        <v>76</v>
      </c>
      <c r="B28" s="4">
        <f>SUM(B27:J27)</f>
        <v>23592.86682276869</v>
      </c>
    </row>
    <row r="30" spans="1:10" ht="15.75" thickBot="1" x14ac:dyDescent="0.3">
      <c r="A30" s="1" t="s">
        <v>87</v>
      </c>
      <c r="B30" s="10">
        <v>0.04</v>
      </c>
    </row>
    <row r="31" spans="1:10" ht="16.5" thickTop="1" thickBot="1" x14ac:dyDescent="0.3">
      <c r="B31" s="5" t="s">
        <v>77</v>
      </c>
      <c r="C31" s="5" t="s">
        <v>78</v>
      </c>
      <c r="D31" s="5" t="s">
        <v>79</v>
      </c>
      <c r="E31" s="5" t="s">
        <v>80</v>
      </c>
      <c r="F31" s="5" t="s">
        <v>81</v>
      </c>
      <c r="G31" s="5" t="s">
        <v>82</v>
      </c>
      <c r="H31" s="5" t="s">
        <v>83</v>
      </c>
      <c r="I31" s="5" t="s">
        <v>84</v>
      </c>
      <c r="J31" s="5" t="s">
        <v>85</v>
      </c>
    </row>
    <row r="32" spans="1:10" ht="15.75" thickTop="1" x14ac:dyDescent="0.25">
      <c r="B32">
        <f>B24</f>
        <v>-26464.260000000002</v>
      </c>
      <c r="D32">
        <f>D24/POWER(1+B30,2)</f>
        <v>-40787.085105399412</v>
      </c>
      <c r="F32">
        <f>F24/POWER(1+B30,3)</f>
        <v>7319.6737561162854</v>
      </c>
      <c r="H32">
        <f>F24/POWER(1+B30,4)</f>
        <v>7038.1478424195047</v>
      </c>
      <c r="J32">
        <f>J24/POWER((1+B30), 5)</f>
        <v>43180.802207186112</v>
      </c>
    </row>
    <row r="33" spans="1:3" x14ac:dyDescent="0.25">
      <c r="A33" s="1" t="s">
        <v>76</v>
      </c>
      <c r="B33" s="8">
        <f>SUM(B32:J32)</f>
        <v>-9712.7212996774979</v>
      </c>
      <c r="C33" s="8" t="s">
        <v>88</v>
      </c>
    </row>
    <row r="35" spans="1:3" x14ac:dyDescent="0.25">
      <c r="A35" s="1" t="s">
        <v>86</v>
      </c>
      <c r="B35" s="9">
        <f>IRR(B23:J23)</f>
        <v>0.14126452171824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I+d</vt:lpstr>
      <vt:lpstr>Flujo de Cajas + VAN + 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Rubio Garcia</dc:creator>
  <cp:lastModifiedBy>Oscar Rubio Garcia</cp:lastModifiedBy>
  <dcterms:created xsi:type="dcterms:W3CDTF">2019-11-04T17:43:41Z</dcterms:created>
  <dcterms:modified xsi:type="dcterms:W3CDTF">2019-11-11T19:30:57Z</dcterms:modified>
</cp:coreProperties>
</file>