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u621nd\Documents\"/>
    </mc:Choice>
  </mc:AlternateContent>
  <bookViews>
    <workbookView xWindow="0" yWindow="0" windowWidth="19150" windowHeight="7250"/>
  </bookViews>
  <sheets>
    <sheet name="Summary" sheetId="16" r:id="rId1"/>
    <sheet name="Model" sheetId="15" r:id="rId2"/>
    <sheet name="Underlying" sheetId="14" r:id="rId3"/>
    <sheet name="Disclaimer" sheetId="17" r:id="rId4"/>
  </sheets>
  <definedNames>
    <definedName name="full_nodes">Model!$D$27</definedName>
    <definedName name="Nodes" localSheetId="0">Summary!#REF!</definedName>
    <definedName name="Nod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4" l="1"/>
  <c r="D22" i="14" l="1"/>
  <c r="C22" i="14"/>
  <c r="B22" i="14"/>
  <c r="K26" i="14"/>
  <c r="D48" i="15" s="1"/>
  <c r="J26" i="14"/>
  <c r="K25" i="14"/>
  <c r="D47" i="15" s="1"/>
  <c r="J25" i="14"/>
  <c r="H22" i="14"/>
  <c r="I22" i="14"/>
  <c r="J22" i="14"/>
  <c r="K22" i="14"/>
  <c r="K21" i="14"/>
  <c r="J21" i="14"/>
  <c r="I21" i="14"/>
  <c r="H21" i="14"/>
  <c r="K20" i="14"/>
  <c r="J20" i="14"/>
  <c r="K19" i="14"/>
  <c r="J19" i="14"/>
  <c r="I19" i="14"/>
  <c r="H19" i="14"/>
  <c r="K12" i="14"/>
  <c r="J12" i="14"/>
  <c r="K11" i="14"/>
  <c r="J11" i="14"/>
  <c r="I11" i="14"/>
  <c r="H11" i="14"/>
  <c r="K10" i="14"/>
  <c r="J10" i="14"/>
  <c r="I10" i="14"/>
  <c r="H10" i="14"/>
  <c r="K9" i="14"/>
  <c r="D31" i="15" s="1"/>
  <c r="J9" i="14"/>
  <c r="K17" i="14"/>
  <c r="D39" i="15" s="1"/>
  <c r="J17" i="14"/>
  <c r="K16" i="14"/>
  <c r="J16" i="14"/>
  <c r="I16" i="14"/>
  <c r="H16" i="14"/>
  <c r="K15" i="14"/>
  <c r="D37" i="15" s="1"/>
  <c r="J15" i="14"/>
  <c r="K14" i="14"/>
  <c r="J14" i="14"/>
  <c r="I14" i="14"/>
  <c r="H14" i="14"/>
  <c r="K8" i="14"/>
  <c r="D29" i="15" s="1"/>
  <c r="J8" i="14"/>
  <c r="H7" i="14"/>
  <c r="K7" i="14"/>
  <c r="J7" i="14"/>
  <c r="I7" i="14"/>
  <c r="G26" i="14"/>
  <c r="G25" i="14"/>
  <c r="E22" i="14"/>
  <c r="F22" i="14"/>
  <c r="G22" i="14"/>
  <c r="G21" i="14"/>
  <c r="F21" i="14"/>
  <c r="E21" i="14"/>
  <c r="G20" i="14"/>
  <c r="F20" i="14"/>
  <c r="E20" i="14"/>
  <c r="G9" i="14"/>
  <c r="G10" i="14"/>
  <c r="F10" i="14"/>
  <c r="E10" i="14"/>
  <c r="G15" i="14"/>
  <c r="G17" i="14"/>
  <c r="G6" i="14"/>
  <c r="F6" i="14"/>
  <c r="E6" i="14"/>
  <c r="G16" i="14"/>
  <c r="F16" i="14"/>
  <c r="E16" i="14"/>
  <c r="G14" i="14"/>
  <c r="F14" i="14"/>
  <c r="E14" i="14"/>
  <c r="G8" i="14"/>
  <c r="F7" i="14"/>
  <c r="E7" i="14"/>
  <c r="D28" i="15" s="1"/>
  <c r="D43" i="15" l="1"/>
  <c r="F43" i="15" s="1"/>
  <c r="H43" i="15" s="1"/>
  <c r="J43" i="15" s="1"/>
  <c r="L43" i="15" s="1"/>
  <c r="D32" i="15"/>
  <c r="F32" i="15" s="1"/>
  <c r="H32" i="15" s="1"/>
  <c r="J32" i="15" s="1"/>
  <c r="L32" i="15" s="1"/>
  <c r="D42" i="15"/>
  <c r="F42" i="15" s="1"/>
  <c r="H42" i="15" s="1"/>
  <c r="J42" i="15" s="1"/>
  <c r="L42" i="15" s="1"/>
  <c r="D38" i="15"/>
  <c r="F38" i="15" s="1"/>
  <c r="H38" i="15" s="1"/>
  <c r="J38" i="15" s="1"/>
  <c r="L38" i="15" s="1"/>
  <c r="D44" i="15"/>
  <c r="F44" i="15" s="1"/>
  <c r="H44" i="15" s="1"/>
  <c r="J44" i="15" s="1"/>
  <c r="L44" i="15" s="1"/>
  <c r="D36" i="15"/>
  <c r="F36" i="15" s="1"/>
  <c r="H36" i="15" s="1"/>
  <c r="J36" i="15" s="1"/>
  <c r="L36" i="15" s="1"/>
  <c r="F48" i="15"/>
  <c r="H48" i="15" s="1"/>
  <c r="J48" i="15" s="1"/>
  <c r="L48" i="15" s="1"/>
  <c r="F47" i="15"/>
  <c r="H47" i="15" s="1"/>
  <c r="J47" i="15" s="1"/>
  <c r="L47" i="15" s="1"/>
  <c r="F31" i="15"/>
  <c r="H31" i="15" s="1"/>
  <c r="J31" i="15" s="1"/>
  <c r="L31" i="15" s="1"/>
  <c r="F39" i="15"/>
  <c r="H39" i="15" s="1"/>
  <c r="J39" i="15" s="1"/>
  <c r="L39" i="15" s="1"/>
  <c r="F37" i="15"/>
  <c r="H37" i="15" s="1"/>
  <c r="J37" i="15" s="1"/>
  <c r="L37" i="15" s="1"/>
  <c r="F29" i="15"/>
  <c r="H29" i="15" l="1"/>
  <c r="J29" i="15" l="1"/>
  <c r="G7" i="14"/>
  <c r="F28" i="15" s="1"/>
  <c r="H28" i="15" s="1"/>
  <c r="J28" i="15" s="1"/>
  <c r="L29" i="15" l="1"/>
  <c r="L28" i="15"/>
  <c r="E23" i="14"/>
  <c r="D45" i="15" s="1"/>
  <c r="F23" i="14"/>
  <c r="F19" i="14"/>
  <c r="E19" i="14"/>
  <c r="D41" i="15" s="1"/>
  <c r="F41" i="15" s="1"/>
  <c r="H41" i="15" s="1"/>
  <c r="J41" i="15" s="1"/>
  <c r="L41" i="15" s="1"/>
  <c r="E12" i="14"/>
  <c r="D34" i="15" s="1"/>
  <c r="F34" i="15" s="1"/>
  <c r="H34" i="15" s="1"/>
  <c r="J34" i="15" s="1"/>
  <c r="L34" i="15" s="1"/>
  <c r="F12" i="14"/>
  <c r="F11" i="14"/>
  <c r="E11" i="14"/>
  <c r="D33" i="15" s="1"/>
  <c r="F33" i="15" s="1"/>
  <c r="H33" i="15" s="1"/>
  <c r="J33" i="15" s="1"/>
  <c r="L33" i="15" s="1"/>
  <c r="J6" i="14"/>
  <c r="K6" i="14"/>
  <c r="D27" i="15" s="1"/>
  <c r="G19" i="14"/>
  <c r="G12" i="14"/>
  <c r="G11" i="14"/>
  <c r="D6" i="15" l="1"/>
  <c r="D16" i="15"/>
  <c r="D7" i="15"/>
  <c r="F45" i="15"/>
  <c r="F27" i="15"/>
  <c r="F6" i="15" l="1"/>
  <c r="F7" i="15"/>
  <c r="F16" i="15"/>
  <c r="H27" i="15"/>
  <c r="H45" i="15"/>
  <c r="D21" i="15"/>
  <c r="D17" i="15"/>
  <c r="D15" i="15"/>
  <c r="H6" i="15" l="1"/>
  <c r="H7" i="15"/>
  <c r="H16" i="15"/>
  <c r="J27" i="15"/>
  <c r="E15" i="16"/>
  <c r="J45" i="15"/>
  <c r="D20" i="15"/>
  <c r="D8" i="15"/>
  <c r="D12" i="15"/>
  <c r="F12" i="15"/>
  <c r="F11" i="15"/>
  <c r="D11" i="15"/>
  <c r="F21" i="15"/>
  <c r="F17" i="15"/>
  <c r="E13" i="16" l="1"/>
  <c r="E29" i="14"/>
  <c r="J6" i="15"/>
  <c r="J16" i="15"/>
  <c r="J7" i="15"/>
  <c r="E16" i="16"/>
  <c r="L27" i="15"/>
  <c r="E14" i="16"/>
  <c r="L45" i="15"/>
  <c r="F15" i="15"/>
  <c r="E31" i="14"/>
  <c r="E32" i="14"/>
  <c r="E30" i="14"/>
  <c r="F30" i="14"/>
  <c r="F20" i="15"/>
  <c r="G14" i="16"/>
  <c r="H12" i="15"/>
  <c r="H21" i="15"/>
  <c r="E18" i="16" l="1"/>
  <c r="L6" i="15"/>
  <c r="L7" i="15"/>
  <c r="L16" i="15"/>
  <c r="F32" i="14"/>
  <c r="H15" i="15"/>
  <c r="F31" i="14"/>
  <c r="F8" i="15"/>
  <c r="F29" i="14" s="1"/>
  <c r="D23" i="15"/>
  <c r="H20" i="15"/>
  <c r="L12" i="15"/>
  <c r="J12" i="15"/>
  <c r="G15" i="16"/>
  <c r="J15" i="15"/>
  <c r="G16" i="16"/>
  <c r="J21" i="15"/>
  <c r="G13" i="16" l="1"/>
  <c r="G18" i="16" s="1"/>
  <c r="G32" i="14"/>
  <c r="F23" i="15"/>
  <c r="L20" i="15"/>
  <c r="J20" i="15"/>
  <c r="L15" i="15"/>
  <c r="L21" i="15"/>
  <c r="I16" i="16"/>
  <c r="H32" i="14" l="1"/>
  <c r="I32" i="14"/>
  <c r="K16" i="16"/>
  <c r="M16" i="16"/>
  <c r="H8" i="15" l="1"/>
  <c r="H17" i="15"/>
  <c r="H11" i="15"/>
  <c r="G29" i="14" l="1"/>
  <c r="I13" i="16"/>
  <c r="G30" i="14"/>
  <c r="G31" i="14"/>
  <c r="I14" i="16"/>
  <c r="I15" i="16"/>
  <c r="H23" i="15"/>
  <c r="J8" i="15"/>
  <c r="J11" i="15"/>
  <c r="J17" i="15"/>
  <c r="K13" i="16" l="1"/>
  <c r="H29" i="14"/>
  <c r="I18" i="16"/>
  <c r="L17" i="15"/>
  <c r="L11" i="15"/>
  <c r="L8" i="15"/>
  <c r="K15" i="16"/>
  <c r="H31" i="14"/>
  <c r="K14" i="16"/>
  <c r="H30" i="14"/>
  <c r="J23" i="15"/>
  <c r="M13" i="16" l="1"/>
  <c r="I29" i="14"/>
  <c r="K18" i="16"/>
  <c r="L23" i="15"/>
  <c r="M14" i="16"/>
  <c r="I30" i="14"/>
  <c r="I31" i="14"/>
  <c r="M15" i="16"/>
  <c r="M18" i="16" l="1"/>
</calcChain>
</file>

<file path=xl/sharedStrings.xml><?xml version="1.0" encoding="utf-8"?>
<sst xmlns="http://schemas.openxmlformats.org/spreadsheetml/2006/main" count="174" uniqueCount="102">
  <si>
    <t>Deployment</t>
  </si>
  <si>
    <t>Documentation</t>
  </si>
  <si>
    <t>On-going Education</t>
  </si>
  <si>
    <t>On-Going Maintenance Costs</t>
  </si>
  <si>
    <t>Transaction Review</t>
  </si>
  <si>
    <t>Network Assessment</t>
  </si>
  <si>
    <t>Monitoring Costs</t>
  </si>
  <si>
    <t>Year 2</t>
  </si>
  <si>
    <t>Year 3</t>
  </si>
  <si>
    <t>Year 4</t>
  </si>
  <si>
    <t>Year 1</t>
  </si>
  <si>
    <t>Year 5</t>
  </si>
  <si>
    <t>Total Costs</t>
  </si>
  <si>
    <t>Assumptions:</t>
  </si>
  <si>
    <t>Documentation costs per user</t>
  </si>
  <si>
    <t>Annual user turnover (education)</t>
  </si>
  <si>
    <t>Costs per 100,000 transactions</t>
  </si>
  <si>
    <t>Table Data:</t>
  </si>
  <si>
    <t>Columns</t>
  </si>
  <si>
    <t>On-going education costs per user</t>
  </si>
  <si>
    <t>Cost Forecasting:</t>
  </si>
  <si>
    <t>Cost Drivers</t>
  </si>
  <si>
    <t>Proof of Stake</t>
  </si>
  <si>
    <t>Proof of Work</t>
  </si>
  <si>
    <t>N/A</t>
  </si>
  <si>
    <t>Node Hosting</t>
  </si>
  <si>
    <t>On-Premise: Existing Technology</t>
  </si>
  <si>
    <t>On-Premise: New Systems</t>
  </si>
  <si>
    <t>Proof of Authority</t>
  </si>
  <si>
    <t>Initial Education</t>
  </si>
  <si>
    <t>Onboarding Costs</t>
  </si>
  <si>
    <t>Cloud-Based</t>
  </si>
  <si>
    <t>Byzantine Fault Tolerance</t>
  </si>
  <si>
    <t>Transaction Size</t>
  </si>
  <si>
    <t>Onboarding costs:</t>
  </si>
  <si>
    <t>Monitoring costs:</t>
  </si>
  <si>
    <t>Cloud costs:</t>
  </si>
  <si>
    <t>Cloud VM per full node</t>
  </si>
  <si>
    <t>Annual cloud VM cost</t>
  </si>
  <si>
    <t>Storage capacity costs per 100GB</t>
  </si>
  <si>
    <t>Transaction storage per 100,000 transactions</t>
  </si>
  <si>
    <t>Small - 150 bytes</t>
  </si>
  <si>
    <t>Medium - 250 bytes</t>
  </si>
  <si>
    <t>Large - 500 bytes</t>
  </si>
  <si>
    <t>Cloud Costs</t>
  </si>
  <si>
    <t>Hardware costs per new node</t>
  </si>
  <si>
    <t>Full nodes</t>
  </si>
  <si>
    <t>Daily Transaction Volume</t>
  </si>
  <si>
    <t>Hourly instructor cost</t>
  </si>
  <si>
    <t>Cloud VM</t>
  </si>
  <si>
    <t>Cloud Storage</t>
  </si>
  <si>
    <t>Training hours per end user</t>
  </si>
  <si>
    <t>Training hours per full node user</t>
  </si>
  <si>
    <t>End users</t>
  </si>
  <si>
    <t>Blockchain technical support FTE</t>
  </si>
  <si>
    <t>Average lifespan of hardware (years)</t>
  </si>
  <si>
    <t>On-going maintenance costs:</t>
  </si>
  <si>
    <t>Technical Support/System Administration</t>
  </si>
  <si>
    <t>Hardware Administration</t>
  </si>
  <si>
    <t>Network assessment</t>
  </si>
  <si>
    <t>Consensus Protocol</t>
  </si>
  <si>
    <t>Transaction Size - Estimated Impact</t>
  </si>
  <si>
    <t>Consensus Protocol- Estimated Impact</t>
  </si>
  <si>
    <t>Assumptions - Base Cases</t>
  </si>
  <si>
    <t>Step Function - Estimated YoY Changes</t>
  </si>
  <si>
    <t>Annual hardware admin % of initial cost</t>
  </si>
  <si>
    <t>Drop-Downs:</t>
  </si>
  <si>
    <t>Onboarding</t>
  </si>
  <si>
    <t>Cloud</t>
  </si>
  <si>
    <t>On-Going Maintenance</t>
  </si>
  <si>
    <t>Monitoring</t>
  </si>
  <si>
    <t>About EY</t>
  </si>
  <si>
    <t>EY is a global leader in assurance, tax, transaction and advisory</t>
  </si>
  <si>
    <t>services. The insights and quality services we deliver help build trust and</t>
  </si>
  <si>
    <t>confidence in the capital markets and in economies the world over. We</t>
  </si>
  <si>
    <t>develop outstanding leaders who team to deliver on our promises to all</t>
  </si>
  <si>
    <t>of our stakeholders. In so doing, we play a critical role in building a better</t>
  </si>
  <si>
    <t>working world for our people, for our clients and for our communities.</t>
  </si>
  <si>
    <t>EY refers to the global organization, and may refer to one or more, of</t>
  </si>
  <si>
    <t>the member firms of Ernst &amp; Young Global Limited, each of which is a</t>
  </si>
  <si>
    <t>separate legal entity. Ernst &amp; Young Global Limited, a UK company limited</t>
  </si>
  <si>
    <t>by guarantee, does not provide services to clients. For more information</t>
  </si>
  <si>
    <t>about our organization, please visit ey.com.</t>
  </si>
  <si>
    <t>© 2018 EYGM Limited. All Rights Reserved.</t>
  </si>
  <si>
    <t>This material has been prepared for general information/discussion purposes only and is not</t>
  </si>
  <si>
    <t>intended to be relied upon as accounting, tax or other professional advice.</t>
  </si>
  <si>
    <t>Please refer to your professional advisors for specific advice.</t>
  </si>
  <si>
    <t>ey.com</t>
  </si>
  <si>
    <r>
      <t xml:space="preserve">EY  </t>
    </r>
    <r>
      <rPr>
        <sz val="11"/>
        <rFont val="EYInterstate Light"/>
      </rPr>
      <t>|  Assurance | Tax | Transactions | Advisory</t>
    </r>
  </si>
  <si>
    <t>Paul Brody</t>
  </si>
  <si>
    <t>EY Blockchain Leader</t>
  </si>
  <si>
    <t>Arwin Holmes</t>
  </si>
  <si>
    <t>EY Blockchain Technology Operations</t>
  </si>
  <si>
    <t>Eli Wolfsohn</t>
  </si>
  <si>
    <t>EY Blockchain Sales Operations</t>
  </si>
  <si>
    <t>John Frechette</t>
  </si>
  <si>
    <t>Luke Szumski</t>
  </si>
  <si>
    <t>ED None</t>
  </si>
  <si>
    <t>Blockchain Fundamental Cost of Ownership</t>
  </si>
  <si>
    <t>Blockchain FCO Model</t>
  </si>
  <si>
    <t>Blockchain FCO Underlying Assumptions</t>
  </si>
  <si>
    <t>EY Financial Services Advisory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</si>
</sst>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164" formatCode="&quot;$&quot;#,##0.0"/>
    <numFmt numFmtId="165" formatCode="&quot;$&quot;#,##0"/>
    <numFmt numFmtId="166" formatCode="\+\-\ 0%"/>
    <numFmt numFmtId="167" formatCode="\+\-\ 0&quot;BPS&quot;"/>
    <numFmt numFmtId="168" formatCode="\ 00%"/>
    <numFmt numFmtId="169" formatCode="\ 0%"/>
    <numFmt numFmtId="170" formatCode="&quot;$&quot;#,##0.00"/>
    <numFmt numFmtId="171" formatCode="&quot;$&quot;#,##0.000"/>
    <numFmt numFmtId="172" formatCode="\ \+\ 00%"/>
    <numFmt numFmtId="173" formatCode="\ \+\ 0%"/>
    <numFmt numFmtId="174" formatCode="\+0%"/>
    <numFmt numFmtId="175" formatCode="\+\-0%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EYInterstate Light"/>
    </font>
    <font>
      <sz val="11"/>
      <color theme="1"/>
      <name val="EYInterstate Light"/>
    </font>
    <font>
      <sz val="11"/>
      <name val="EYInterstate Light"/>
    </font>
    <font>
      <u/>
      <sz val="11"/>
      <color theme="1"/>
      <name val="EYInterstate Light"/>
    </font>
    <font>
      <b/>
      <sz val="11"/>
      <color theme="1"/>
      <name val="EYInterstate Light"/>
    </font>
    <font>
      <sz val="11"/>
      <color rgb="FF000000"/>
      <name val="EYInterstate Light"/>
    </font>
    <font>
      <b/>
      <sz val="14"/>
      <color theme="1"/>
      <name val="EYInterstate Light"/>
    </font>
    <font>
      <sz val="11"/>
      <color rgb="FF0000FF"/>
      <name val="EYInterstate Light"/>
    </font>
    <font>
      <u/>
      <sz val="10"/>
      <color theme="1"/>
      <name val="EYInterstate Light"/>
    </font>
    <font>
      <b/>
      <sz val="10"/>
      <color theme="1"/>
      <name val="EYInterstate Light"/>
    </font>
    <font>
      <sz val="11"/>
      <name val="Calibri"/>
      <family val="2"/>
    </font>
    <font>
      <b/>
      <sz val="10"/>
      <name val="EYInterstate Light"/>
    </font>
    <font>
      <sz val="10"/>
      <name val="EYInterstate Light"/>
    </font>
    <font>
      <sz val="10"/>
      <color theme="1"/>
      <name val="Wingdings 3"/>
      <family val="1"/>
      <charset val="2"/>
    </font>
    <font>
      <sz val="8"/>
      <color theme="1"/>
      <name val="Wingdings 3"/>
      <family val="1"/>
      <charset val="2"/>
    </font>
    <font>
      <sz val="11"/>
      <name val="Calibri"/>
      <family val="2"/>
    </font>
    <font>
      <b/>
      <sz val="11"/>
      <name val="EYInterstate Light"/>
    </font>
    <font>
      <sz val="10"/>
      <color rgb="FF000000"/>
      <name val="EYInterstate Light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A7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tted">
        <color auto="1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3">
    <xf numFmtId="0" fontId="0" fillId="0" borderId="0"/>
    <xf numFmtId="0" fontId="11" fillId="0" borderId="0"/>
    <xf numFmtId="0" fontId="16" fillId="0" borderId="0"/>
  </cellStyleXfs>
  <cellXfs count="191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3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9" fontId="3" fillId="2" borderId="0" xfId="0" applyNumberFormat="1" applyFont="1" applyFill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3" fillId="2" borderId="0" xfId="0" applyNumberFormat="1" applyFont="1" applyFill="1" applyBorder="1" applyAlignment="1">
      <alignment horizontal="center" vertical="center"/>
    </xf>
    <xf numFmtId="170" fontId="2" fillId="0" borderId="0" xfId="0" applyNumberFormat="1" applyFont="1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vertical="center"/>
    </xf>
    <xf numFmtId="170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3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165" fontId="3" fillId="2" borderId="0" xfId="0" applyNumberFormat="1" applyFont="1" applyFill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Alignment="1">
      <alignment vertical="center"/>
    </xf>
    <xf numFmtId="9" fontId="3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9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 wrapText="1"/>
    </xf>
    <xf numFmtId="165" fontId="3" fillId="2" borderId="0" xfId="0" applyNumberFormat="1" applyFont="1" applyFill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1" fillId="0" borderId="10" xfId="0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" fillId="0" borderId="11" xfId="0" applyFont="1" applyFill="1" applyBorder="1" applyAlignment="1">
      <alignment vertical="center"/>
    </xf>
    <xf numFmtId="165" fontId="13" fillId="0" borderId="8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/>
    <xf numFmtId="165" fontId="13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15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" fillId="0" borderId="15" xfId="0" applyFont="1" applyFill="1" applyBorder="1"/>
    <xf numFmtId="0" fontId="1" fillId="0" borderId="15" xfId="0" applyFont="1" applyFill="1" applyBorder="1" applyAlignment="1">
      <alignment horizontal="center" vertical="center" textRotation="90" wrapText="1"/>
    </xf>
    <xf numFmtId="0" fontId="1" fillId="0" borderId="16" xfId="0" applyFont="1" applyFill="1" applyBorder="1" applyAlignment="1">
      <alignment horizontal="center" vertical="center" textRotation="90" wrapText="1"/>
    </xf>
    <xf numFmtId="0" fontId="10" fillId="0" borderId="14" xfId="0" applyFont="1" applyFill="1" applyBorder="1" applyAlignment="1">
      <alignment vertical="center"/>
    </xf>
    <xf numFmtId="0" fontId="1" fillId="0" borderId="15" xfId="0" applyFont="1" applyBorder="1"/>
    <xf numFmtId="166" fontId="1" fillId="0" borderId="15" xfId="0" applyNumberFormat="1" applyFont="1" applyFill="1" applyBorder="1" applyAlignment="1">
      <alignment horizontal="center" vertical="center"/>
    </xf>
    <xf numFmtId="166" fontId="10" fillId="0" borderId="16" xfId="0" applyNumberFormat="1" applyFont="1" applyFill="1" applyBorder="1" applyAlignment="1">
      <alignment horizontal="center" vertical="center"/>
    </xf>
    <xf numFmtId="165" fontId="13" fillId="0" borderId="15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/>
    </xf>
    <xf numFmtId="166" fontId="10" fillId="0" borderId="15" xfId="0" applyNumberFormat="1" applyFont="1" applyFill="1" applyBorder="1" applyAlignment="1">
      <alignment horizontal="center" vertical="center"/>
    </xf>
    <xf numFmtId="3" fontId="1" fillId="0" borderId="1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1" fontId="3" fillId="2" borderId="0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vertical="center"/>
    </xf>
    <xf numFmtId="171" fontId="3" fillId="2" borderId="0" xfId="0" applyNumberFormat="1" applyFont="1" applyFill="1" applyBorder="1" applyAlignment="1">
      <alignment horizontal="center" vertical="center"/>
    </xf>
    <xf numFmtId="171" fontId="3" fillId="2" borderId="0" xfId="0" applyNumberFormat="1" applyFont="1" applyFill="1" applyAlignment="1">
      <alignment vertical="center"/>
    </xf>
    <xf numFmtId="2" fontId="3" fillId="2" borderId="5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vertical="center"/>
    </xf>
    <xf numFmtId="165" fontId="2" fillId="0" borderId="0" xfId="0" applyNumberFormat="1" applyFont="1" applyAlignment="1">
      <alignment vertical="center"/>
    </xf>
    <xf numFmtId="9" fontId="13" fillId="0" borderId="15" xfId="0" applyNumberFormat="1" applyFont="1" applyFill="1" applyBorder="1" applyAlignment="1">
      <alignment horizontal="center" vertical="center"/>
    </xf>
    <xf numFmtId="167" fontId="12" fillId="0" borderId="15" xfId="0" applyNumberFormat="1" applyFont="1" applyFill="1" applyBorder="1" applyAlignment="1">
      <alignment horizontal="center" vertical="center"/>
    </xf>
    <xf numFmtId="167" fontId="13" fillId="0" borderId="15" xfId="0" applyNumberFormat="1" applyFont="1" applyFill="1" applyBorder="1" applyAlignment="1">
      <alignment horizontal="center" vertical="center"/>
    </xf>
    <xf numFmtId="167" fontId="12" fillId="0" borderId="16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70" fontId="13" fillId="0" borderId="8" xfId="0" applyNumberFormat="1" applyFont="1" applyFill="1" applyBorder="1" applyAlignment="1">
      <alignment horizontal="center" vertical="center"/>
    </xf>
    <xf numFmtId="171" fontId="13" fillId="0" borderId="8" xfId="0" applyNumberFormat="1" applyFont="1" applyFill="1" applyBorder="1" applyAlignment="1">
      <alignment horizontal="center" vertical="center"/>
    </xf>
    <xf numFmtId="170" fontId="3" fillId="2" borderId="0" xfId="0" applyNumberFormat="1" applyFont="1" applyFill="1" applyBorder="1" applyAlignment="1">
      <alignment horizontal="center" vertical="center"/>
    </xf>
    <xf numFmtId="170" fontId="3" fillId="2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/>
    <xf numFmtId="0" fontId="1" fillId="2" borderId="0" xfId="0" applyFont="1" applyFill="1"/>
    <xf numFmtId="0" fontId="9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6" fontId="1" fillId="0" borderId="0" xfId="0" applyNumberFormat="1" applyFont="1" applyFill="1" applyBorder="1" applyAlignment="1">
      <alignment horizontal="center" vertical="center"/>
    </xf>
    <xf numFmtId="166" fontId="10" fillId="0" borderId="8" xfId="0" applyNumberFormat="1" applyFont="1" applyFill="1" applyBorder="1" applyAlignment="1">
      <alignment horizontal="center" vertical="center"/>
    </xf>
    <xf numFmtId="169" fontId="1" fillId="0" borderId="0" xfId="0" applyNumberFormat="1" applyFont="1" applyFill="1" applyBorder="1" applyAlignment="1">
      <alignment horizontal="center" vertical="center"/>
    </xf>
    <xf numFmtId="172" fontId="1" fillId="0" borderId="0" xfId="0" applyNumberFormat="1" applyFont="1" applyFill="1" applyBorder="1" applyAlignment="1">
      <alignment horizontal="center" vertical="center"/>
    </xf>
    <xf numFmtId="168" fontId="1" fillId="0" borderId="0" xfId="0" applyNumberFormat="1" applyFont="1" applyFill="1" applyBorder="1" applyAlignment="1">
      <alignment horizontal="center" vertical="center"/>
    </xf>
    <xf numFmtId="166" fontId="1" fillId="0" borderId="10" xfId="0" applyNumberFormat="1" applyFont="1" applyFill="1" applyBorder="1" applyAlignment="1">
      <alignment horizontal="center" vertical="center"/>
    </xf>
    <xf numFmtId="173" fontId="1" fillId="0" borderId="0" xfId="0" applyNumberFormat="1" applyFont="1" applyFill="1" applyBorder="1" applyAlignment="1">
      <alignment horizontal="center" vertical="center"/>
    </xf>
    <xf numFmtId="167" fontId="12" fillId="0" borderId="8" xfId="0" applyNumberFormat="1" applyFont="1" applyFill="1" applyBorder="1" applyAlignment="1">
      <alignment horizontal="center" vertical="center"/>
    </xf>
    <xf numFmtId="169" fontId="1" fillId="0" borderId="11" xfId="0" applyNumberFormat="1" applyFont="1" applyFill="1" applyBorder="1" applyAlignment="1">
      <alignment horizontal="center" vertical="center"/>
    </xf>
    <xf numFmtId="172" fontId="1" fillId="0" borderId="1" xfId="0" applyNumberFormat="1" applyFont="1" applyFill="1" applyBorder="1" applyAlignment="1">
      <alignment horizontal="center" vertical="center"/>
    </xf>
    <xf numFmtId="166" fontId="10" fillId="0" borderId="12" xfId="0" applyNumberFormat="1" applyFont="1" applyFill="1" applyBorder="1" applyAlignment="1">
      <alignment horizontal="center" vertical="center"/>
    </xf>
    <xf numFmtId="166" fontId="10" fillId="0" borderId="5" xfId="0" applyNumberFormat="1" applyFont="1" applyFill="1" applyBorder="1" applyAlignment="1">
      <alignment horizontal="center" vertical="center"/>
    </xf>
    <xf numFmtId="166" fontId="10" fillId="0" borderId="0" xfId="0" applyNumberFormat="1" applyFont="1" applyFill="1" applyBorder="1" applyAlignment="1">
      <alignment horizontal="center" vertical="center"/>
    </xf>
    <xf numFmtId="167" fontId="13" fillId="0" borderId="10" xfId="0" applyNumberFormat="1" applyFont="1" applyFill="1" applyBorder="1" applyAlignment="1">
      <alignment horizontal="center" vertical="center"/>
    </xf>
    <xf numFmtId="167" fontId="13" fillId="0" borderId="0" xfId="0" applyNumberFormat="1" applyFont="1" applyFill="1" applyBorder="1" applyAlignment="1">
      <alignment horizontal="center" vertical="center"/>
    </xf>
    <xf numFmtId="167" fontId="12" fillId="0" borderId="0" xfId="0" applyNumberFormat="1" applyFont="1" applyFill="1" applyBorder="1" applyAlignment="1">
      <alignment horizontal="center" vertical="center"/>
    </xf>
    <xf numFmtId="173" fontId="1" fillId="0" borderId="11" xfId="0" applyNumberFormat="1" applyFont="1" applyFill="1" applyBorder="1" applyAlignment="1">
      <alignment horizontal="center" vertical="center"/>
    </xf>
    <xf numFmtId="173" fontId="1" fillId="0" borderId="1" xfId="0" applyNumberFormat="1" applyFont="1" applyFill="1" applyBorder="1" applyAlignment="1">
      <alignment horizontal="center" vertical="center"/>
    </xf>
    <xf numFmtId="166" fontId="10" fillId="0" borderId="1" xfId="0" applyNumberFormat="1" applyFont="1" applyFill="1" applyBorder="1" applyAlignment="1">
      <alignment horizontal="center" vertical="center"/>
    </xf>
    <xf numFmtId="1" fontId="3" fillId="2" borderId="5" xfId="0" applyNumberFormat="1" applyFont="1" applyFill="1" applyBorder="1" applyAlignment="1">
      <alignment vertical="center"/>
    </xf>
    <xf numFmtId="174" fontId="3" fillId="0" borderId="0" xfId="0" applyNumberFormat="1" applyFont="1" applyAlignment="1">
      <alignment horizontal="center" vertical="center"/>
    </xf>
    <xf numFmtId="174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3" fillId="0" borderId="8" xfId="0" applyNumberFormat="1" applyFont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175" fontId="3" fillId="0" borderId="8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4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9" fontId="3" fillId="0" borderId="13" xfId="0" applyNumberFormat="1" applyFont="1" applyBorder="1" applyAlignment="1">
      <alignment horizontal="center" vertical="center" wrapText="1"/>
    </xf>
    <xf numFmtId="175" fontId="3" fillId="0" borderId="10" xfId="0" applyNumberFormat="1" applyFont="1" applyBorder="1" applyAlignment="1">
      <alignment horizontal="center" vertical="center"/>
    </xf>
    <xf numFmtId="175" fontId="3" fillId="0" borderId="0" xfId="0" applyNumberFormat="1" applyFont="1" applyBorder="1" applyAlignment="1">
      <alignment horizontal="center" vertical="center"/>
    </xf>
    <xf numFmtId="9" fontId="3" fillId="0" borderId="10" xfId="0" applyNumberFormat="1" applyFont="1" applyBorder="1" applyAlignment="1">
      <alignment horizontal="center" vertical="center" wrapText="1"/>
    </xf>
    <xf numFmtId="3" fontId="13" fillId="0" borderId="9" xfId="0" applyNumberFormat="1" applyFont="1" applyFill="1" applyBorder="1" applyAlignment="1">
      <alignment horizontal="center" vertical="center"/>
    </xf>
    <xf numFmtId="4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165" fontId="13" fillId="0" borderId="9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9" fontId="13" fillId="0" borderId="0" xfId="0" applyNumberFormat="1" applyFont="1" applyFill="1" applyBorder="1" applyAlignment="1">
      <alignment horizontal="center" vertical="center"/>
    </xf>
    <xf numFmtId="9" fontId="13" fillId="0" borderId="8" xfId="0" applyNumberFormat="1" applyFont="1" applyFill="1" applyBorder="1" applyAlignment="1">
      <alignment horizontal="center" vertical="center"/>
    </xf>
    <xf numFmtId="9" fontId="3" fillId="2" borderId="0" xfId="0" applyNumberFormat="1" applyFont="1" applyFill="1" applyAlignment="1">
      <alignment vertical="center"/>
    </xf>
    <xf numFmtId="4" fontId="13" fillId="0" borderId="8" xfId="0" applyNumberFormat="1" applyFont="1" applyFill="1" applyBorder="1" applyAlignment="1">
      <alignment horizontal="center" vertical="center"/>
    </xf>
    <xf numFmtId="165" fontId="13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6" xfId="0" applyFont="1" applyFill="1" applyBorder="1"/>
    <xf numFmtId="3" fontId="13" fillId="0" borderId="8" xfId="0" applyNumberFormat="1" applyFont="1" applyFill="1" applyBorder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165" fontId="3" fillId="2" borderId="0" xfId="0" applyNumberFormat="1" applyFont="1" applyFill="1" applyBorder="1" applyAlignment="1">
      <alignment vertical="center"/>
    </xf>
    <xf numFmtId="0" fontId="2" fillId="0" borderId="0" xfId="0" applyFont="1"/>
    <xf numFmtId="0" fontId="17" fillId="0" borderId="0" xfId="0" applyFont="1" applyAlignment="1">
      <alignment vertical="center"/>
    </xf>
    <xf numFmtId="0" fontId="3" fillId="0" borderId="0" xfId="0" applyFont="1"/>
    <xf numFmtId="0" fontId="17" fillId="0" borderId="0" xfId="0" applyFont="1"/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3" fontId="8" fillId="0" borderId="3" xfId="0" applyNumberFormat="1" applyFont="1" applyBorder="1" applyAlignment="1">
      <alignment horizontal="center" vertical="center"/>
    </xf>
    <xf numFmtId="3" fontId="8" fillId="0" borderId="7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11" fontId="2" fillId="0" borderId="3" xfId="0" applyNumberFormat="1" applyFont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/>
    </xf>
    <xf numFmtId="11" fontId="2" fillId="0" borderId="7" xfId="0" applyNumberFormat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6" fontId="18" fillId="6" borderId="0" xfId="0" applyNumberFormat="1" applyFont="1" applyFill="1" applyBorder="1" applyAlignment="1">
      <alignment horizontal="center" vertical="center"/>
    </xf>
    <xf numFmtId="6" fontId="2" fillId="0" borderId="0" xfId="0" applyNumberFormat="1" applyFont="1" applyBorder="1" applyAlignment="1">
      <alignment vertical="center"/>
    </xf>
    <xf numFmtId="6" fontId="18" fillId="0" borderId="0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0000FF"/>
      <color rgb="FFFFAFAF"/>
      <color rgb="FFA2E8A2"/>
      <color rgb="FFFFFFA7"/>
      <color rgb="FFE8E8E8"/>
      <color rgb="FFE2E2E2"/>
      <color rgb="FFD1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EYInterstate Light" panose="02000506000000020004" pitchFamily="2" charset="0"/>
                <a:ea typeface="+mn-ea"/>
                <a:cs typeface="+mn-cs"/>
              </a:defRPr>
            </a:pPr>
            <a:r>
              <a:rPr lang="en-US"/>
              <a:t>Five Year Costs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EYInterstate Light" panose="0200050600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Underlying!$A$29</c:f>
              <c:strCache>
                <c:ptCount val="1"/>
                <c:pt idx="0">
                  <c:v>Onboarding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Underlying!$A$35:$A$39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Underlying!$E$29:$I$29</c:f>
              <c:numCache>
                <c:formatCode>"$"#,##0</c:formatCode>
                <c:ptCount val="5"/>
                <c:pt idx="0">
                  <c:v>115146</c:v>
                </c:pt>
                <c:pt idx="1">
                  <c:v>3879.5624999999995</c:v>
                </c:pt>
                <c:pt idx="2">
                  <c:v>3687.8697187499997</c:v>
                </c:pt>
                <c:pt idx="3">
                  <c:v>3506.4497787539058</c:v>
                </c:pt>
                <c:pt idx="4">
                  <c:v>3334.7771416263458</c:v>
                </c:pt>
              </c:numCache>
            </c:numRef>
          </c:val>
        </c:ser>
        <c:ser>
          <c:idx val="1"/>
          <c:order val="1"/>
          <c:tx>
            <c:strRef>
              <c:f>Underlying!$A$30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Underlying!$A$35:$A$39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Underlying!$E$30:$I$30</c:f>
              <c:numCache>
                <c:formatCode>"$"#,##0</c:formatCode>
                <c:ptCount val="5"/>
                <c:pt idx="0">
                  <c:v>50005.764798219207</c:v>
                </c:pt>
                <c:pt idx="1">
                  <c:v>42755.662818397286</c:v>
                </c:pt>
                <c:pt idx="2">
                  <c:v>36556.821036557558</c:v>
                </c:pt>
                <c:pt idx="3">
                  <c:v>31256.807182901794</c:v>
                </c:pt>
                <c:pt idx="4">
                  <c:v>26725.291620861612</c:v>
                </c:pt>
              </c:numCache>
            </c:numRef>
          </c:val>
        </c:ser>
        <c:ser>
          <c:idx val="3"/>
          <c:order val="2"/>
          <c:tx>
            <c:strRef>
              <c:f>Underlying!$A$31</c:f>
              <c:strCache>
                <c:ptCount val="1"/>
                <c:pt idx="0">
                  <c:v>On-Going Maintenance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Underlying!$A$35:$A$39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Underlying!$E$31:$I$31</c:f>
              <c:numCache>
                <c:formatCode>"$"#,##0</c:formatCode>
                <c:ptCount val="5"/>
                <c:pt idx="0">
                  <c:v>142280</c:v>
                </c:pt>
                <c:pt idx="1">
                  <c:v>142013.5</c:v>
                </c:pt>
                <c:pt idx="2">
                  <c:v>141755.45624999999</c:v>
                </c:pt>
                <c:pt idx="3">
                  <c:v>141505.458109375</c:v>
                </c:pt>
                <c:pt idx="4">
                  <c:v>141263.11543910156</c:v>
                </c:pt>
              </c:numCache>
            </c:numRef>
          </c:val>
        </c:ser>
        <c:ser>
          <c:idx val="4"/>
          <c:order val="3"/>
          <c:tx>
            <c:strRef>
              <c:f>Underlying!$A$32</c:f>
              <c:strCache>
                <c:ptCount val="1"/>
                <c:pt idx="0">
                  <c:v>Monitoring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Underlying!$A$35:$A$39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Underlying!$E$32:$I$32</c:f>
              <c:numCache>
                <c:formatCode>"$"#,##0</c:formatCode>
                <c:ptCount val="5"/>
                <c:pt idx="0">
                  <c:v>19662.5</c:v>
                </c:pt>
                <c:pt idx="1">
                  <c:v>18772.8125</c:v>
                </c:pt>
                <c:pt idx="2">
                  <c:v>17927.609375</c:v>
                </c:pt>
                <c:pt idx="3">
                  <c:v>17124.666406249999</c:v>
                </c:pt>
                <c:pt idx="4">
                  <c:v>16361.870585937499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9106800"/>
        <c:axId val="549100136"/>
      </c:barChart>
      <c:catAx>
        <c:axId val="5491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EYInterstate Light" panose="02000506000000020004" pitchFamily="2" charset="0"/>
                <a:ea typeface="+mn-ea"/>
                <a:cs typeface="+mn-cs"/>
              </a:defRPr>
            </a:pPr>
            <a:endParaRPr lang="en-US"/>
          </a:p>
        </c:txPr>
        <c:crossAx val="549100136"/>
        <c:crosses val="autoZero"/>
        <c:auto val="1"/>
        <c:lblAlgn val="ctr"/>
        <c:lblOffset val="100"/>
        <c:noMultiLvlLbl val="0"/>
      </c:catAx>
      <c:valAx>
        <c:axId val="54910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EYInterstate Light" panose="02000506000000020004" pitchFamily="2" charset="0"/>
                <a:ea typeface="+mn-ea"/>
                <a:cs typeface="+mn-cs"/>
              </a:defRPr>
            </a:pPr>
            <a:endParaRPr lang="en-US"/>
          </a:p>
        </c:txPr>
        <c:crossAx val="54910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EYInterstate Light" panose="0200050600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EYInterstate Light" panose="0200050600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201705</xdr:rowOff>
    </xdr:from>
    <xdr:to>
      <xdr:col>13</xdr:col>
      <xdr:colOff>39687</xdr:colOff>
      <xdr:row>39</xdr:row>
      <xdr:rowOff>150812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showGridLines="0" tabSelected="1" zoomScale="85" zoomScaleNormal="85" workbookViewId="0"/>
  </sheetViews>
  <sheetFormatPr defaultRowHeight="16" x14ac:dyDescent="0.35"/>
  <cols>
    <col min="1" max="1" width="10.6328125" style="4" customWidth="1"/>
    <col min="2" max="3" width="8.7265625" style="4"/>
    <col min="4" max="4" width="8.90625" style="4" customWidth="1"/>
    <col min="5" max="5" width="12.6328125" style="4" customWidth="1"/>
    <col min="6" max="6" width="3.6328125" style="4" customWidth="1"/>
    <col min="7" max="7" width="12.6328125" style="4" customWidth="1"/>
    <col min="8" max="8" width="3.6328125" style="4" customWidth="1"/>
    <col min="9" max="9" width="12.6328125" style="4" customWidth="1"/>
    <col min="10" max="10" width="3.6328125" style="4" customWidth="1"/>
    <col min="11" max="11" width="12.6328125" style="4" customWidth="1"/>
    <col min="12" max="12" width="3.6328125" style="4" customWidth="1"/>
    <col min="13" max="13" width="12.6328125" style="4" customWidth="1"/>
    <col min="14" max="14" width="8.7265625" style="4"/>
    <col min="15" max="15" width="11.1796875" style="4" bestFit="1" customWidth="1"/>
    <col min="16" max="16" width="9.26953125" style="4" bestFit="1" customWidth="1"/>
    <col min="17" max="17" width="8.7265625" style="4"/>
    <col min="18" max="18" width="11.36328125" style="4" bestFit="1" customWidth="1"/>
    <col min="19" max="16384" width="8.7265625" style="4"/>
  </cols>
  <sheetData>
    <row r="1" spans="1:24" ht="21" x14ac:dyDescent="0.35">
      <c r="A1" s="10" t="s">
        <v>98</v>
      </c>
      <c r="B1" s="11"/>
      <c r="C1" s="11"/>
      <c r="D1" s="11"/>
    </row>
    <row r="2" spans="1:24" ht="12" customHeight="1" x14ac:dyDescent="0.35"/>
    <row r="3" spans="1:24" ht="12" customHeight="1" x14ac:dyDescent="0.35"/>
    <row r="4" spans="1:24" ht="33.5" customHeight="1" x14ac:dyDescent="0.35">
      <c r="A4" s="172" t="s">
        <v>47</v>
      </c>
      <c r="B4" s="173"/>
      <c r="C4" s="174"/>
      <c r="D4" s="175">
        <v>250000</v>
      </c>
      <c r="E4" s="176"/>
      <c r="F4" s="54"/>
    </row>
    <row r="5" spans="1:24" ht="33.5" customHeight="1" x14ac:dyDescent="0.2">
      <c r="A5" s="167" t="s">
        <v>33</v>
      </c>
      <c r="B5" s="168"/>
      <c r="C5" s="169"/>
      <c r="D5" s="170" t="s">
        <v>43</v>
      </c>
      <c r="E5" s="171"/>
      <c r="F5" s="55"/>
    </row>
    <row r="6" spans="1:24" ht="33.5" customHeight="1" x14ac:dyDescent="0.35">
      <c r="A6" s="177" t="s">
        <v>25</v>
      </c>
      <c r="B6" s="177"/>
      <c r="C6" s="177"/>
      <c r="D6" s="178" t="s">
        <v>31</v>
      </c>
      <c r="E6" s="178"/>
      <c r="R6" s="190"/>
      <c r="S6" s="11"/>
      <c r="T6" s="190"/>
      <c r="U6" s="11"/>
      <c r="V6" s="190"/>
      <c r="W6" s="190"/>
      <c r="X6" s="11"/>
    </row>
    <row r="7" spans="1:24" ht="33.5" customHeight="1" x14ac:dyDescent="0.35">
      <c r="A7" s="164" t="s">
        <v>60</v>
      </c>
      <c r="B7" s="164"/>
      <c r="C7" s="164"/>
      <c r="D7" s="165" t="s">
        <v>23</v>
      </c>
      <c r="E7" s="166"/>
      <c r="R7" s="190"/>
      <c r="S7" s="11"/>
      <c r="T7" s="190"/>
      <c r="U7" s="11"/>
      <c r="V7" s="190"/>
      <c r="W7" s="190"/>
      <c r="X7" s="11"/>
    </row>
    <row r="8" spans="1:24" ht="12" customHeight="1" x14ac:dyDescent="0.35">
      <c r="A8" s="26"/>
      <c r="B8" s="26"/>
      <c r="C8" s="26"/>
      <c r="D8" s="27"/>
      <c r="R8" s="190"/>
      <c r="S8" s="11"/>
      <c r="T8" s="190"/>
      <c r="U8" s="11"/>
      <c r="V8" s="190"/>
      <c r="W8" s="190"/>
      <c r="X8" s="11"/>
    </row>
    <row r="9" spans="1:24" ht="12" customHeight="1" x14ac:dyDescent="0.35">
      <c r="O9" s="11"/>
      <c r="P9" s="190"/>
      <c r="R9" s="190"/>
      <c r="S9" s="11"/>
      <c r="T9" s="190"/>
      <c r="U9" s="11"/>
      <c r="V9" s="190"/>
      <c r="W9" s="190"/>
      <c r="X9" s="11"/>
    </row>
    <row r="10" spans="1:24" x14ac:dyDescent="0.35">
      <c r="A10" s="7" t="s">
        <v>20</v>
      </c>
      <c r="O10" s="188"/>
      <c r="P10" s="190"/>
      <c r="R10" s="188"/>
      <c r="S10" s="11"/>
      <c r="T10" s="11"/>
      <c r="U10" s="11"/>
      <c r="V10" s="11"/>
      <c r="W10" s="11"/>
      <c r="X10" s="11"/>
    </row>
    <row r="11" spans="1:24" x14ac:dyDescent="0.35">
      <c r="E11" s="2" t="s">
        <v>10</v>
      </c>
      <c r="G11" s="2" t="s">
        <v>7</v>
      </c>
      <c r="I11" s="2" t="s">
        <v>8</v>
      </c>
      <c r="K11" s="2" t="s">
        <v>9</v>
      </c>
      <c r="M11" s="2" t="s">
        <v>11</v>
      </c>
      <c r="O11" s="188"/>
      <c r="P11" s="190"/>
      <c r="R11" s="188"/>
    </row>
    <row r="12" spans="1:24" ht="5" customHeight="1" x14ac:dyDescent="0.35">
      <c r="O12" s="188"/>
      <c r="P12" s="190"/>
      <c r="R12" s="188"/>
    </row>
    <row r="13" spans="1:24" ht="25" customHeight="1" x14ac:dyDescent="0.35">
      <c r="A13" s="4" t="s">
        <v>30</v>
      </c>
      <c r="E13" s="13">
        <f>SUM(Model!D6:D8)</f>
        <v>115146</v>
      </c>
      <c r="F13" s="13"/>
      <c r="G13" s="13">
        <f>SUM(Model!F6:F8)</f>
        <v>3879.5624999999995</v>
      </c>
      <c r="H13" s="13"/>
      <c r="I13" s="13">
        <f>SUM(Model!H6:H8)</f>
        <v>3687.8697187499997</v>
      </c>
      <c r="J13" s="13"/>
      <c r="K13" s="13">
        <f>SUM(Model!J6:J8)</f>
        <v>3506.4497787539058</v>
      </c>
      <c r="L13" s="13"/>
      <c r="M13" s="13">
        <f>SUM(Model!L6:L8)</f>
        <v>3334.7771416263458</v>
      </c>
      <c r="O13" s="188"/>
      <c r="R13" s="189"/>
    </row>
    <row r="14" spans="1:24" ht="25" customHeight="1" x14ac:dyDescent="0.35">
      <c r="A14" s="4" t="s">
        <v>44</v>
      </c>
      <c r="E14" s="13">
        <f>SUM(Model!D11:D12)</f>
        <v>50005.764798219207</v>
      </c>
      <c r="F14" s="13"/>
      <c r="G14" s="13">
        <f>SUM(Model!F11:F12)</f>
        <v>42755.662818397286</v>
      </c>
      <c r="H14" s="13"/>
      <c r="I14" s="13">
        <f>SUM(Model!H11:H12)</f>
        <v>36556.821036557558</v>
      </c>
      <c r="J14" s="13"/>
      <c r="K14" s="13">
        <f>SUM(Model!J11:J12)</f>
        <v>31256.807182901794</v>
      </c>
      <c r="L14" s="13"/>
      <c r="M14" s="13">
        <f>SUM(Model!L11:L12)</f>
        <v>26725.291620861612</v>
      </c>
      <c r="O14" s="189"/>
    </row>
    <row r="15" spans="1:24" ht="25" customHeight="1" x14ac:dyDescent="0.35">
      <c r="A15" s="4" t="s">
        <v>3</v>
      </c>
      <c r="E15" s="13">
        <f>SUM(Model!D15:D17)</f>
        <v>142280</v>
      </c>
      <c r="F15" s="13"/>
      <c r="G15" s="13">
        <f>SUM(Model!F15:F17)</f>
        <v>142013.5</v>
      </c>
      <c r="H15" s="13"/>
      <c r="I15" s="13">
        <f>SUM(Model!H15:H17)</f>
        <v>141755.45624999999</v>
      </c>
      <c r="J15" s="13"/>
      <c r="K15" s="13">
        <f>SUM(Model!J15:J17)</f>
        <v>141505.458109375</v>
      </c>
      <c r="L15" s="13"/>
      <c r="M15" s="13">
        <f>SUM(Model!L15:L17)</f>
        <v>141263.11543910156</v>
      </c>
    </row>
    <row r="16" spans="1:24" ht="25" customHeight="1" x14ac:dyDescent="0.35">
      <c r="A16" s="4" t="s">
        <v>6</v>
      </c>
      <c r="E16" s="13">
        <f>SUM(Model!D20:D21)</f>
        <v>19662.5</v>
      </c>
      <c r="F16" s="13"/>
      <c r="G16" s="13">
        <f>SUM(Model!F20:F21)</f>
        <v>18772.8125</v>
      </c>
      <c r="H16" s="13"/>
      <c r="I16" s="13">
        <f>SUM(Model!H20:H21)</f>
        <v>17927.609375</v>
      </c>
      <c r="J16" s="13"/>
      <c r="K16" s="13">
        <f>SUM(Model!J20:J21)</f>
        <v>17124.666406249999</v>
      </c>
      <c r="L16" s="13"/>
      <c r="M16" s="13">
        <f>SUM(Model!L20:L21)</f>
        <v>16361.870585937499</v>
      </c>
    </row>
    <row r="17" spans="1:16" x14ac:dyDescent="0.35">
      <c r="E17" s="33"/>
      <c r="F17" s="13"/>
      <c r="G17" s="13"/>
      <c r="H17" s="13"/>
      <c r="I17" s="13"/>
      <c r="J17" s="13"/>
      <c r="K17" s="13"/>
      <c r="L17" s="13"/>
      <c r="M17" s="13"/>
    </row>
    <row r="18" spans="1:16" x14ac:dyDescent="0.35">
      <c r="A18" s="15" t="s">
        <v>12</v>
      </c>
      <c r="B18" s="15"/>
      <c r="C18" s="15"/>
      <c r="D18" s="15"/>
      <c r="E18" s="16">
        <f>SUM(E13:E16)</f>
        <v>327094.2647982192</v>
      </c>
      <c r="F18" s="16"/>
      <c r="G18" s="16">
        <f>SUM(G13:G16)</f>
        <v>207421.53781839728</v>
      </c>
      <c r="H18" s="16"/>
      <c r="I18" s="16">
        <f>SUM(I13:I16)</f>
        <v>199927.75638030755</v>
      </c>
      <c r="J18" s="16"/>
      <c r="K18" s="16">
        <f>SUM(K13:K16)</f>
        <v>193393.38147728072</v>
      </c>
      <c r="L18" s="16"/>
      <c r="M18" s="16">
        <f>SUM(M13:M16)</f>
        <v>187685.05478752701</v>
      </c>
      <c r="O18" s="30"/>
    </row>
    <row r="19" spans="1:16" x14ac:dyDescent="0.35">
      <c r="O19" s="30"/>
      <c r="P19" s="30"/>
    </row>
    <row r="42" spans="1:13" x14ac:dyDescent="0.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</sheetData>
  <mergeCells count="8">
    <mergeCell ref="A7:C7"/>
    <mergeCell ref="D7:E7"/>
    <mergeCell ref="A5:C5"/>
    <mergeCell ref="D5:E5"/>
    <mergeCell ref="A4:C4"/>
    <mergeCell ref="D4:E4"/>
    <mergeCell ref="A6:C6"/>
    <mergeCell ref="D6:E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Underlying!$C$35:$C$37</xm:f>
          </x14:formula1>
          <xm:sqref>D5:E5</xm:sqref>
        </x14:dataValidation>
        <x14:dataValidation type="list" allowBlank="1" showInputMessage="1" showErrorMessage="1">
          <x14:formula1>
            <xm:f>Underlying!$D$35:$D$37</xm:f>
          </x14:formula1>
          <xm:sqref>D6:E6</xm:sqref>
        </x14:dataValidation>
        <x14:dataValidation type="list" allowBlank="1" showInputMessage="1" showErrorMessage="1">
          <x14:formula1>
            <xm:f>Underlying!$E$35:$E$38</xm:f>
          </x14:formula1>
          <xm:sqref>D7:E7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showGridLines="0" zoomScale="80" zoomScaleNormal="80" workbookViewId="0"/>
  </sheetViews>
  <sheetFormatPr defaultColWidth="8.81640625" defaultRowHeight="16" x14ac:dyDescent="0.35"/>
  <cols>
    <col min="1" max="1" width="14.453125" style="4" customWidth="1"/>
    <col min="2" max="2" width="15.36328125" style="4" customWidth="1"/>
    <col min="3" max="3" width="14.90625" style="4" customWidth="1"/>
    <col min="4" max="4" width="15.08984375" style="4" customWidth="1"/>
    <col min="5" max="5" width="3.1796875" style="4" customWidth="1"/>
    <col min="6" max="6" width="15.08984375" style="3" customWidth="1"/>
    <col min="7" max="7" width="3.1796875" style="4" customWidth="1"/>
    <col min="8" max="8" width="15.08984375" style="3" customWidth="1"/>
    <col min="9" max="9" width="3.1796875" style="4" customWidth="1"/>
    <col min="10" max="10" width="15.08984375" style="3" customWidth="1"/>
    <col min="11" max="11" width="3.1796875" style="4" customWidth="1"/>
    <col min="12" max="12" width="15.08984375" style="3" customWidth="1"/>
    <col min="13" max="13" width="5.1796875" style="4" customWidth="1"/>
    <col min="14" max="14" width="21.81640625" style="3" customWidth="1"/>
    <col min="15" max="16" width="21.81640625" style="4" customWidth="1"/>
    <col min="17" max="16384" width="8.81640625" style="4"/>
  </cols>
  <sheetData>
    <row r="1" spans="1:14" ht="21" x14ac:dyDescent="0.35">
      <c r="A1" s="10" t="s">
        <v>99</v>
      </c>
      <c r="B1" s="11"/>
      <c r="C1" s="11"/>
      <c r="D1" s="11"/>
      <c r="E1" s="11"/>
    </row>
    <row r="3" spans="1:14" x14ac:dyDescent="0.35">
      <c r="D3" s="2" t="s">
        <v>10</v>
      </c>
      <c r="E3" s="3"/>
      <c r="F3" s="2" t="s">
        <v>7</v>
      </c>
      <c r="G3" s="3"/>
      <c r="H3" s="2" t="s">
        <v>8</v>
      </c>
      <c r="I3" s="3"/>
      <c r="J3" s="2" t="s">
        <v>9</v>
      </c>
      <c r="K3" s="3"/>
      <c r="L3" s="2" t="s">
        <v>11</v>
      </c>
    </row>
    <row r="4" spans="1:14" ht="8" customHeight="1" x14ac:dyDescent="0.35">
      <c r="D4" s="12"/>
      <c r="E4" s="3"/>
      <c r="F4" s="12"/>
      <c r="G4" s="3"/>
      <c r="H4" s="12"/>
      <c r="I4" s="3"/>
      <c r="J4" s="12"/>
      <c r="K4" s="3"/>
      <c r="L4" s="12"/>
    </row>
    <row r="5" spans="1:14" x14ac:dyDescent="0.35">
      <c r="A5" s="7" t="s">
        <v>30</v>
      </c>
    </row>
    <row r="6" spans="1:14" x14ac:dyDescent="0.35">
      <c r="A6" s="4" t="s">
        <v>0</v>
      </c>
      <c r="D6" s="28">
        <f>full_nodes*D29</f>
        <v>0</v>
      </c>
      <c r="E6" s="80"/>
      <c r="F6" s="28">
        <f>F27*F29</f>
        <v>0</v>
      </c>
      <c r="G6" s="80"/>
      <c r="H6" s="28">
        <f>H27*H29</f>
        <v>0</v>
      </c>
      <c r="I6" s="80"/>
      <c r="J6" s="28">
        <f>J27*J29</f>
        <v>0</v>
      </c>
      <c r="K6" s="80"/>
      <c r="L6" s="28">
        <f>L27*L29</f>
        <v>0</v>
      </c>
    </row>
    <row r="7" spans="1:14" x14ac:dyDescent="0.35">
      <c r="A7" s="8" t="s">
        <v>29</v>
      </c>
      <c r="D7" s="28">
        <f>(full_nodes*D31+D28*D32)*D33</f>
        <v>112176</v>
      </c>
      <c r="E7" s="80"/>
      <c r="F7" s="28">
        <f>((F27-full_nodes)*F31+(F28-D28)*F32)*F33+F45*AVERAGE(D28:F28)</f>
        <v>3748.9374999999995</v>
      </c>
      <c r="G7" s="80"/>
      <c r="H7" s="28">
        <f>((H27-F27)*H31+(H28-F28)*H32)*H33+H45*AVERAGE(F28:H28)</f>
        <v>3557.5712812499996</v>
      </c>
      <c r="I7" s="80"/>
      <c r="J7" s="28">
        <f>((J27-H27)*J31+(J28-H28)*J32)*J33+J45*AVERAGE(H28:J28)</f>
        <v>3376.4770873476559</v>
      </c>
      <c r="K7" s="80"/>
      <c r="L7" s="28">
        <f>((L27-J27)*L31+(L28-J28)*L32)*L33+L45*AVERAGE(J28:L28)</f>
        <v>3205.1293819486114</v>
      </c>
    </row>
    <row r="8" spans="1:14" x14ac:dyDescent="0.35">
      <c r="A8" s="8" t="s">
        <v>1</v>
      </c>
      <c r="D8" s="28">
        <f>D34*(full_nodes+D28)</f>
        <v>2970</v>
      </c>
      <c r="F8" s="28">
        <f>F34*((F27+F28)-(D27+D28))</f>
        <v>130.625</v>
      </c>
      <c r="H8" s="28">
        <f>H34*((H27+H28)-(F27+F28))</f>
        <v>130.29843749999998</v>
      </c>
      <c r="J8" s="28">
        <f>J34*((J27+J28)-(H27+H28))</f>
        <v>129.97269140624996</v>
      </c>
      <c r="L8" s="28">
        <f>L34*((L27+L28)-(J27+J28))</f>
        <v>129.64775967773463</v>
      </c>
    </row>
    <row r="9" spans="1:14" ht="10" customHeight="1" x14ac:dyDescent="0.35">
      <c r="D9" s="12"/>
      <c r="E9" s="3"/>
      <c r="F9" s="12"/>
      <c r="G9" s="3"/>
      <c r="H9" s="12"/>
      <c r="I9" s="3"/>
      <c r="J9" s="12"/>
      <c r="K9" s="3"/>
      <c r="L9" s="12"/>
    </row>
    <row r="10" spans="1:14" x14ac:dyDescent="0.35">
      <c r="A10" s="7" t="s">
        <v>44</v>
      </c>
    </row>
    <row r="11" spans="1:14" x14ac:dyDescent="0.35">
      <c r="A11" s="8" t="s">
        <v>49</v>
      </c>
      <c r="D11" s="13">
        <f>full_nodes*D36*D37</f>
        <v>50000</v>
      </c>
      <c r="F11" s="13">
        <f>F27*F36*F37</f>
        <v>42750</v>
      </c>
      <c r="H11" s="13">
        <f>H27*H36*H37</f>
        <v>36551.25</v>
      </c>
      <c r="J11" s="13">
        <f>J27*J36*J37</f>
        <v>31251.318749999995</v>
      </c>
      <c r="L11" s="13">
        <f>L27*L36*L37</f>
        <v>26719.877531249993</v>
      </c>
    </row>
    <row r="12" spans="1:14" x14ac:dyDescent="0.35">
      <c r="A12" s="8" t="s">
        <v>50</v>
      </c>
      <c r="D12" s="13">
        <f>Summary!$D$4*LEFT(RIGHT(Summary!$D$5,9),3)*365/1073741824/100*D38+Summary!$D$4*365*Model!$D$39/100000</f>
        <v>5.76479821920395</v>
      </c>
      <c r="E12" s="80"/>
      <c r="F12" s="13">
        <f>Summary!$D$4*LEFT(RIGHT(Summary!$D$5,9),3)*365/1073741824/100*F38+Summary!$D$4*365*Model!$D$39/100000</f>
        <v>5.6628183972835551</v>
      </c>
      <c r="G12" s="80"/>
      <c r="H12" s="13">
        <f>Summary!$D$4*LEFT(RIGHT(Summary!$D$5,9),3)*365/1073741824/100*H38+Summary!$D$4*365*Model!$D$39/100000</f>
        <v>5.5710365575551997</v>
      </c>
      <c r="I12" s="80"/>
      <c r="J12" s="13">
        <f>Summary!$D$4*LEFT(RIGHT(Summary!$D$5,9),3)*365/1073741824/100*J38+Summary!$D$4*365*Model!$D$39/100000</f>
        <v>5.4884329017996798</v>
      </c>
      <c r="K12" s="80"/>
      <c r="L12" s="13">
        <f>Summary!$D$4*LEFT(RIGHT(Summary!$D$5,9),3)*365/1073741824/100*L38+Summary!$D$4*365*Model!$D$39/100000</f>
        <v>5.4140896116197119</v>
      </c>
      <c r="N12" s="33"/>
    </row>
    <row r="13" spans="1:14" ht="10" customHeight="1" x14ac:dyDescent="0.35"/>
    <row r="14" spans="1:14" x14ac:dyDescent="0.35">
      <c r="A14" s="7" t="s">
        <v>3</v>
      </c>
      <c r="D14" s="5"/>
      <c r="N14" s="33"/>
    </row>
    <row r="15" spans="1:14" x14ac:dyDescent="0.35">
      <c r="A15" s="9" t="s">
        <v>57</v>
      </c>
      <c r="D15" s="28">
        <f>D41</f>
        <v>98000</v>
      </c>
      <c r="E15" s="80"/>
      <c r="F15" s="28">
        <f>F41</f>
        <v>98000</v>
      </c>
      <c r="G15" s="80"/>
      <c r="H15" s="28">
        <f>H41</f>
        <v>98000</v>
      </c>
      <c r="I15" s="80"/>
      <c r="J15" s="28">
        <f>J41</f>
        <v>98000</v>
      </c>
      <c r="K15" s="80"/>
      <c r="L15" s="28">
        <f>L41</f>
        <v>98000</v>
      </c>
    </row>
    <row r="16" spans="1:14" x14ac:dyDescent="0.35">
      <c r="A16" s="9" t="s">
        <v>58</v>
      </c>
      <c r="D16" s="28">
        <f>D29*D42*full_nodes</f>
        <v>0</v>
      </c>
      <c r="E16" s="80"/>
      <c r="F16" s="157">
        <f>F29*F42*F27</f>
        <v>0</v>
      </c>
      <c r="G16" s="80"/>
      <c r="H16" s="157">
        <f>H29*H42*H27</f>
        <v>0</v>
      </c>
      <c r="I16" s="80"/>
      <c r="J16" s="157">
        <f>J29*J42*J27</f>
        <v>0</v>
      </c>
      <c r="K16" s="80"/>
      <c r="L16" s="157">
        <f>L29*L42*L27</f>
        <v>0</v>
      </c>
    </row>
    <row r="17" spans="1:17" x14ac:dyDescent="0.35">
      <c r="A17" s="9" t="s">
        <v>2</v>
      </c>
      <c r="D17" s="28">
        <f>(full_nodes+D28)*D44</f>
        <v>44280</v>
      </c>
      <c r="E17" s="80"/>
      <c r="F17" s="28">
        <f>(F27+F28)*F44</f>
        <v>44013.499999999993</v>
      </c>
      <c r="G17" s="80"/>
      <c r="H17" s="28">
        <f>(H27+H28)*H44</f>
        <v>43755.456249999996</v>
      </c>
      <c r="I17" s="80"/>
      <c r="J17" s="28">
        <f>(J27+J28)*J44</f>
        <v>43505.458109375002</v>
      </c>
      <c r="K17" s="80"/>
      <c r="L17" s="28">
        <f>(L27+L28)*L44</f>
        <v>43263.115439101566</v>
      </c>
      <c r="N17" s="33"/>
    </row>
    <row r="18" spans="1:17" ht="10" customHeight="1" x14ac:dyDescent="0.35">
      <c r="D18" s="5"/>
    </row>
    <row r="19" spans="1:17" x14ac:dyDescent="0.35">
      <c r="A19" s="7" t="s">
        <v>6</v>
      </c>
    </row>
    <row r="20" spans="1:17" x14ac:dyDescent="0.35">
      <c r="A20" s="8" t="s">
        <v>4</v>
      </c>
      <c r="D20" s="13">
        <f>Summary!$D$4*365/100000*Model!D47</f>
        <v>17793.75</v>
      </c>
      <c r="E20" s="80"/>
      <c r="F20" s="13">
        <f>Summary!$D$4*365/100000*Model!F47</f>
        <v>16904.0625</v>
      </c>
      <c r="G20" s="80"/>
      <c r="H20" s="13">
        <f>Summary!$D$4*365/100000*Model!H47</f>
        <v>16058.859375</v>
      </c>
      <c r="I20" s="80"/>
      <c r="J20" s="13">
        <f>Summary!$D$4*365/100000*Model!J47</f>
        <v>15255.916406249999</v>
      </c>
      <c r="K20" s="80"/>
      <c r="L20" s="13">
        <f>Summary!$D$4*365/100000*Model!L47</f>
        <v>14493.120585937499</v>
      </c>
    </row>
    <row r="21" spans="1:17" x14ac:dyDescent="0.35">
      <c r="A21" s="8" t="s">
        <v>5</v>
      </c>
      <c r="D21" s="13">
        <f>D48</f>
        <v>1868.75</v>
      </c>
      <c r="E21" s="80"/>
      <c r="F21" s="13">
        <f>F48</f>
        <v>1868.75</v>
      </c>
      <c r="G21" s="80"/>
      <c r="H21" s="13">
        <f>H48</f>
        <v>1868.75</v>
      </c>
      <c r="I21" s="80"/>
      <c r="J21" s="13">
        <f>J48</f>
        <v>1868.75</v>
      </c>
      <c r="K21" s="80"/>
      <c r="L21" s="13">
        <f>L48</f>
        <v>1868.75</v>
      </c>
    </row>
    <row r="22" spans="1:17" ht="10" customHeight="1" x14ac:dyDescent="0.35">
      <c r="F22" s="14"/>
    </row>
    <row r="23" spans="1:17" x14ac:dyDescent="0.35">
      <c r="A23" s="15" t="s">
        <v>12</v>
      </c>
      <c r="B23" s="15"/>
      <c r="C23" s="15"/>
      <c r="D23" s="16">
        <f>SUM(D10:D21)</f>
        <v>211948.2647982192</v>
      </c>
      <c r="E23" s="15"/>
      <c r="F23" s="16">
        <f>SUM(F10:F21)</f>
        <v>203541.97531839728</v>
      </c>
      <c r="G23" s="15"/>
      <c r="H23" s="16">
        <f>SUM(H10:H21)</f>
        <v>196239.88666155754</v>
      </c>
      <c r="I23" s="15"/>
      <c r="J23" s="16">
        <f>SUM(J10:J21)</f>
        <v>189886.93169852681</v>
      </c>
      <c r="K23" s="15"/>
      <c r="L23" s="16">
        <f>SUM(L10:L21)</f>
        <v>184350.27764590067</v>
      </c>
    </row>
    <row r="24" spans="1:17" x14ac:dyDescent="0.35">
      <c r="A24" s="15"/>
      <c r="B24" s="15"/>
      <c r="C24" s="15"/>
      <c r="D24" s="16"/>
      <c r="E24" s="15"/>
      <c r="F24" s="16"/>
      <c r="G24" s="15"/>
      <c r="H24" s="16"/>
      <c r="I24" s="15"/>
      <c r="J24" s="16"/>
      <c r="K24" s="15"/>
      <c r="L24" s="16"/>
    </row>
    <row r="25" spans="1:17" x14ac:dyDescent="0.35">
      <c r="N25" s="179" t="s">
        <v>64</v>
      </c>
      <c r="O25" s="180"/>
      <c r="P25" s="181"/>
    </row>
    <row r="26" spans="1:17" ht="32" x14ac:dyDescent="0.35">
      <c r="A26" s="17" t="s">
        <v>13</v>
      </c>
      <c r="B26" s="18"/>
      <c r="C26" s="18"/>
      <c r="D26" s="18"/>
      <c r="E26" s="18"/>
      <c r="F26" s="19"/>
      <c r="G26" s="18"/>
      <c r="H26" s="19"/>
      <c r="I26" s="18"/>
      <c r="J26" s="19"/>
      <c r="K26" s="18"/>
      <c r="L26" s="19"/>
      <c r="N26" s="45" t="s">
        <v>27</v>
      </c>
      <c r="O26" s="45" t="s">
        <v>26</v>
      </c>
      <c r="P26" s="133" t="s">
        <v>31</v>
      </c>
    </row>
    <row r="27" spans="1:17" x14ac:dyDescent="0.35">
      <c r="A27" s="73" t="s">
        <v>46</v>
      </c>
      <c r="B27" s="25"/>
      <c r="C27" s="41"/>
      <c r="D27" s="38">
        <f>IFERROR(INDEX(Underlying!$A:$K,MATCH($A27,Underlying!$A:$A,0),MATCH(Summary!$D$6,Underlying!$4:$4,0))*(1+(INDEX(Underlying!$A:$K,MATCH($A27,Underlying!$A:$A,0),MATCH(Summary!$D$5,Underlying!$4:$4,0))+INDEX(Underlying!$A:$K,MATCH($A27,Underlying!$A:$A,0),MATCH(Summary!$D$7,Underlying!$4:$4,0)))),0)</f>
        <v>20</v>
      </c>
      <c r="E27" s="74"/>
      <c r="F27" s="38">
        <f>IFERROR(D27*(1+INDEX($A:$P,MATCH($A27,$A:$A,0),MATCH(Summary!$D$6,Model!$A$26:$P$26,0))),D27)</f>
        <v>20</v>
      </c>
      <c r="G27" s="75"/>
      <c r="H27" s="38">
        <f>IFERROR(F27*(1+INDEX($A:$P,MATCH($A27,$A:$A,0),MATCH(Summary!$D$6,Model!$A$26:$P$26,0))),F27)</f>
        <v>20</v>
      </c>
      <c r="I27" s="75"/>
      <c r="J27" s="38">
        <f>IFERROR(H27*(1+INDEX($A:$P,MATCH($A27,$A:$A,0),MATCH(Summary!$D$6,Model!$A$26:$P$26,0))),H27)</f>
        <v>20</v>
      </c>
      <c r="K27" s="75"/>
      <c r="L27" s="38">
        <f>IFERROR(J27*(1+INDEX($A:$P,MATCH($A27,$A:$A,0),MATCH(Summary!$D$6,Model!$A$26:$P$26,0))),J27)</f>
        <v>20</v>
      </c>
      <c r="N27" s="132">
        <v>0</v>
      </c>
      <c r="O27" s="132">
        <v>0</v>
      </c>
      <c r="P27" s="140">
        <v>0</v>
      </c>
      <c r="Q27" s="11"/>
    </row>
    <row r="28" spans="1:17" x14ac:dyDescent="0.35">
      <c r="A28" s="73" t="s">
        <v>53</v>
      </c>
      <c r="B28" s="25"/>
      <c r="C28" s="41"/>
      <c r="D28" s="38">
        <f>IFERROR(INDEX(Underlying!$A:$K,MATCH($A28,Underlying!$A:$A,0),MATCH(Summary!$D$6,Underlying!$4:$4,0))*(1+(INDEX(Underlying!$A:$K,MATCH($A28,Underlying!$A:$A,0),MATCH(Summary!$D$5,Underlying!$4:$4,0))+INDEX(Underlying!$A:$K,MATCH($A28,Underlying!$A:$A,0),MATCH(Summary!$D$7,Underlying!$4:$4,0)))),0)</f>
        <v>250</v>
      </c>
      <c r="E28" s="74"/>
      <c r="F28" s="38">
        <f>IFERROR(D28*(1+INDEX($A:$P,MATCH($A28,$A:$A,0),MATCH(Summary!$D$6,Model!$A$26:$P$26,0))),D28)</f>
        <v>262.5</v>
      </c>
      <c r="G28" s="75"/>
      <c r="H28" s="38">
        <f>IFERROR(F28*(1+INDEX($A:$P,MATCH($A28,$A:$A,0),MATCH(Summary!$D$6,Model!$A$26:$P$26,0))),F28)</f>
        <v>275.625</v>
      </c>
      <c r="I28" s="75"/>
      <c r="J28" s="38">
        <f>IFERROR(H28*(1+INDEX($A:$P,MATCH($A28,$A:$A,0),MATCH(Summary!$D$6,Model!$A$26:$P$26,0))),H28)</f>
        <v>289.40625</v>
      </c>
      <c r="K28" s="75"/>
      <c r="L28" s="38">
        <f>IFERROR(J28*(1+INDEX($A:$P,MATCH($A28,$A:$A,0),MATCH(Summary!$D$6,Model!$A$26:$P$26,0))),J28)</f>
        <v>303.87656250000003</v>
      </c>
      <c r="N28" s="126">
        <v>0.1</v>
      </c>
      <c r="O28" s="134">
        <v>0.05</v>
      </c>
      <c r="P28" s="125">
        <v>0.05</v>
      </c>
    </row>
    <row r="29" spans="1:17" x14ac:dyDescent="0.35">
      <c r="A29" s="25" t="s">
        <v>45</v>
      </c>
      <c r="B29" s="25"/>
      <c r="C29" s="25"/>
      <c r="D29" s="29">
        <f>IFERROR(INDEX(Underlying!$A:$K,MATCH($A29,Underlying!$A:$A,0),MATCH(Summary!$D$6,Underlying!$4:$4,0))*(1+(INDEX(Underlying!$A:$K,MATCH($A29,Underlying!$A:$A,0),MATCH(Summary!$D$5,Underlying!$4:$4,0))+INDEX(Underlying!$A:$K,MATCH($A29,Underlying!$A:$A,0),MATCH(Summary!$D$7,Underlying!$4:$4,0)))),0)</f>
        <v>0</v>
      </c>
      <c r="E29" s="25"/>
      <c r="F29" s="29">
        <f>IFERROR(D29*(1+INDEX($A:$P,MATCH($A29,$A:$A,0),MATCH(Summary!$D$6,Model!$A$26:$P$26,0))),D29)</f>
        <v>0</v>
      </c>
      <c r="G29" s="158"/>
      <c r="H29" s="29">
        <f>IFERROR(F29*(1+INDEX($A:$P,MATCH($A29,$A:$A,0),MATCH(Summary!$D$6,Model!$A$26:$P$26,0))),F29)</f>
        <v>0</v>
      </c>
      <c r="I29" s="158"/>
      <c r="J29" s="29">
        <f>IFERROR(H29*(1+INDEX($A:$P,MATCH($A29,$A:$A,0),MATCH(Summary!$D$6,Model!$A$26:$P$26,0))),H29)</f>
        <v>0</v>
      </c>
      <c r="K29" s="158"/>
      <c r="L29" s="29">
        <f>IFERROR(J29*(1+INDEX($A:$P,MATCH($A29,$A:$A,0),MATCH(Summary!$D$6,Model!$A$26:$P$26,0))),J29)</f>
        <v>0</v>
      </c>
      <c r="N29" s="128">
        <v>-0.1</v>
      </c>
      <c r="O29" s="135" t="s">
        <v>24</v>
      </c>
      <c r="P29" s="6" t="s">
        <v>24</v>
      </c>
    </row>
    <row r="30" spans="1:17" ht="10" customHeight="1" x14ac:dyDescent="0.35">
      <c r="A30" s="25"/>
      <c r="B30" s="25"/>
      <c r="C30" s="25"/>
      <c r="D30" s="29"/>
      <c r="E30" s="25"/>
      <c r="F30" s="29"/>
      <c r="G30" s="158"/>
      <c r="H30" s="29"/>
      <c r="I30" s="158"/>
      <c r="J30" s="29"/>
      <c r="K30" s="158"/>
      <c r="L30" s="29"/>
      <c r="N30" s="128"/>
      <c r="O30" s="135"/>
      <c r="P30" s="6"/>
    </row>
    <row r="31" spans="1:17" x14ac:dyDescent="0.35">
      <c r="A31" s="21" t="s">
        <v>52</v>
      </c>
      <c r="B31" s="21"/>
      <c r="C31" s="21"/>
      <c r="D31" s="72">
        <f>IFERROR(INDEX(Underlying!$A:$K,MATCH($A31,Underlying!$A:$A,0),MATCH(Summary!$D$6,Underlying!$4:$4,0))*(1+(INDEX(Underlying!$A:$K,MATCH($A31,Underlying!$A:$A,0),MATCH(Summary!$D$5,Underlying!$4:$4,0))+INDEX(Underlying!$A:$K,MATCH($A31,Underlying!$A:$A,0),MATCH(Summary!$D$7,Underlying!$4:$4,0)))),0)</f>
        <v>18.399999999999999</v>
      </c>
      <c r="E31" s="36"/>
      <c r="F31" s="72">
        <f>IFERROR(D31*(1+INDEX($A:$P,MATCH($A31,$A:$A,0),MATCH(Summary!$D$6,Model!$A$26:$P$26,0))),D31)</f>
        <v>17.479999999999997</v>
      </c>
      <c r="G31" s="124"/>
      <c r="H31" s="72">
        <f>IFERROR(F31*(1+INDEX($A:$P,MATCH($A31,$A:$A,0),MATCH(Summary!$D$6,Model!$A$26:$P$26,0))),F31)</f>
        <v>16.605999999999995</v>
      </c>
      <c r="I31" s="124"/>
      <c r="J31" s="72">
        <f>IFERROR(H31*(1+INDEX($A:$P,MATCH($A31,$A:$A,0),MATCH(Summary!$D$6,Model!$A$26:$P$26,0))),H31)</f>
        <v>15.775699999999993</v>
      </c>
      <c r="K31" s="124"/>
      <c r="L31" s="72">
        <f>IFERROR(J31*(1+INDEX($A:$P,MATCH($A31,$A:$A,0),MATCH(Summary!$D$6,Model!$A$26:$P$26,0))),J31)</f>
        <v>14.986914999999993</v>
      </c>
      <c r="M31" s="5"/>
      <c r="N31" s="128">
        <v>-0.1</v>
      </c>
      <c r="O31" s="138">
        <v>-0.05</v>
      </c>
      <c r="P31" s="43">
        <v>-0.05</v>
      </c>
    </row>
    <row r="32" spans="1:17" x14ac:dyDescent="0.35">
      <c r="A32" s="18" t="s">
        <v>51</v>
      </c>
      <c r="B32" s="18"/>
      <c r="C32" s="18"/>
      <c r="D32" s="38">
        <f>IFERROR(INDEX(Underlying!$A:$K,MATCH($A32,Underlying!$A:$A,0),MATCH(Summary!$D$6,Underlying!$4:$4,0))*(1+(INDEX(Underlying!$A:$K,MATCH($A32,Underlying!$A:$A,0),MATCH(Summary!$D$5,Underlying!$4:$4,0))+INDEX(Underlying!$A:$K,MATCH($A32,Underlying!$A:$A,0),MATCH(Summary!$D$7,Underlying!$4:$4,0)))),0)</f>
        <v>4</v>
      </c>
      <c r="E32" s="39"/>
      <c r="F32" s="20">
        <f>IFERROR(D32*(1+INDEX($A:$P,MATCH($A32,$A:$A,0),MATCH(Summary!$D$6,Model!$A$26:$P$26,0))),D32)</f>
        <v>3.8</v>
      </c>
      <c r="G32" s="39"/>
      <c r="H32" s="20">
        <f>IFERROR(F32*(1+INDEX($A:$P,MATCH($A32,$A:$A,0),MATCH(Summary!$D$6,Model!$A$26:$P$26,0))),F32)</f>
        <v>3.61</v>
      </c>
      <c r="I32" s="39"/>
      <c r="J32" s="20">
        <f>IFERROR(H32*(1+INDEX($A:$P,MATCH($A32,$A:$A,0),MATCH(Summary!$D$6,Model!$A$26:$P$26,0))),H32)</f>
        <v>3.4294999999999995</v>
      </c>
      <c r="K32" s="39"/>
      <c r="L32" s="20">
        <f>IFERROR(J32*(1+INDEX($A:$P,MATCH($A32,$A:$A,0),MATCH(Summary!$D$6,Model!$A$26:$P$26,0))),J32)</f>
        <v>3.2580249999999995</v>
      </c>
      <c r="M32" s="5"/>
      <c r="N32" s="128">
        <v>-0.05</v>
      </c>
      <c r="O32" s="138">
        <v>-0.05</v>
      </c>
      <c r="P32" s="43">
        <v>-0.05</v>
      </c>
    </row>
    <row r="33" spans="1:17" x14ac:dyDescent="0.35">
      <c r="A33" s="18" t="s">
        <v>48</v>
      </c>
      <c r="B33" s="18"/>
      <c r="C33" s="18"/>
      <c r="D33" s="29">
        <f>IFERROR(INDEX(Underlying!$A:$K,MATCH($A33,Underlying!$A:$A,0),MATCH(Summary!$D$6,Underlying!$4:$4,0))*(1+(INDEX(Underlying!$A:$K,MATCH($A33,Underlying!$A:$A,0),MATCH(Summary!$D$5,Underlying!$4:$4,0))+INDEX(Underlying!$A:$K,MATCH($A33,Underlying!$A:$A,0),MATCH(Summary!$D$7,Underlying!$4:$4,0)))),0)</f>
        <v>82</v>
      </c>
      <c r="E33" s="44"/>
      <c r="F33" s="37">
        <f>IFERROR(D33*(1+INDEX($A:$P,MATCH($A33,$A:$A,0),MATCH(Summary!$D$6,Model!$A$26:$P$26,0))),D33)</f>
        <v>77.899999999999991</v>
      </c>
      <c r="G33" s="44"/>
      <c r="H33" s="37">
        <f>IFERROR(F33*(1+INDEX($A:$P,MATCH($A33,$A:$A,0),MATCH(Summary!$D$6,Model!$A$26:$P$26,0))),F33)</f>
        <v>74.004999999999995</v>
      </c>
      <c r="I33" s="44"/>
      <c r="J33" s="37">
        <f>IFERROR(H33*(1+INDEX($A:$P,MATCH($A33,$A:$A,0),MATCH(Summary!$D$6,Model!$A$26:$P$26,0))),H33)</f>
        <v>70.304749999999999</v>
      </c>
      <c r="K33" s="44"/>
      <c r="L33" s="37">
        <f>IFERROR(J33*(1+INDEX($A:$P,MATCH($A33,$A:$A,0),MATCH(Summary!$D$6,Model!$A$26:$P$26,0))),J33)</f>
        <v>66.789512500000001</v>
      </c>
      <c r="M33" s="5"/>
      <c r="N33" s="128">
        <v>-0.05</v>
      </c>
      <c r="O33" s="138">
        <v>-0.05</v>
      </c>
      <c r="P33" s="43">
        <v>-0.05</v>
      </c>
    </row>
    <row r="34" spans="1:17" x14ac:dyDescent="0.35">
      <c r="A34" s="23" t="s">
        <v>14</v>
      </c>
      <c r="B34" s="23"/>
      <c r="C34" s="23"/>
      <c r="D34" s="29">
        <f>IFERROR(INDEX(Underlying!$A:$K,MATCH($A34,Underlying!$A:$A,0),MATCH(Summary!$D$6,Underlying!$4:$4,0))*(1+(INDEX(Underlying!$A:$K,MATCH($A34,Underlying!$A:$A,0),MATCH(Summary!$D$5,Underlying!$4:$4,0))+INDEX(Underlying!$A:$K,MATCH($A34,Underlying!$A:$A,0),MATCH(Summary!$D$7,Underlying!$4:$4,0)))),0)</f>
        <v>11</v>
      </c>
      <c r="E34" s="23"/>
      <c r="F34" s="37">
        <f>IFERROR(D34*(1+INDEX($A:$P,MATCH($A34,$A:$A,0),MATCH(Summary!$D$6,Model!$A$26:$P$26,0))),D34)</f>
        <v>10.45</v>
      </c>
      <c r="G34" s="23"/>
      <c r="H34" s="37">
        <f>IFERROR(F34*(1+INDEX($A:$P,MATCH($A34,$A:$A,0),MATCH(Summary!$D$6,Model!$A$26:$P$26,0))),F34)</f>
        <v>9.9274999999999984</v>
      </c>
      <c r="I34" s="23"/>
      <c r="J34" s="37">
        <f>IFERROR(H34*(1+INDEX($A:$P,MATCH($A34,$A:$A,0),MATCH(Summary!$D$6,Model!$A$26:$P$26,0))),H34)</f>
        <v>9.431124999999998</v>
      </c>
      <c r="K34" s="23"/>
      <c r="L34" s="37">
        <f>IFERROR(J34*(1+INDEX($A:$P,MATCH($A34,$A:$A,0),MATCH(Summary!$D$6,Model!$A$26:$P$26,0))),J34)</f>
        <v>8.9595687499999972</v>
      </c>
      <c r="M34" s="5"/>
      <c r="N34" s="128">
        <v>-0.05</v>
      </c>
      <c r="O34" s="138">
        <v>-0.05</v>
      </c>
      <c r="P34" s="43">
        <v>-0.05</v>
      </c>
    </row>
    <row r="35" spans="1:17" ht="10" customHeight="1" x14ac:dyDescent="0.35">
      <c r="A35" s="18"/>
      <c r="B35" s="18"/>
      <c r="C35" s="18"/>
      <c r="D35" s="22"/>
      <c r="E35" s="23"/>
      <c r="F35" s="34"/>
      <c r="G35" s="23"/>
      <c r="H35" s="34"/>
      <c r="I35" s="23"/>
      <c r="J35" s="34"/>
      <c r="K35" s="23"/>
      <c r="L35" s="34"/>
      <c r="M35" s="5"/>
      <c r="N35" s="127"/>
      <c r="O35" s="136"/>
    </row>
    <row r="36" spans="1:17" x14ac:dyDescent="0.35">
      <c r="A36" s="21" t="s">
        <v>37</v>
      </c>
      <c r="B36" s="21"/>
      <c r="C36" s="21"/>
      <c r="D36" s="78">
        <f>IFERROR(INDEX(Underlying!$A:$K,MATCH($A36,Underlying!$A:$A,0),MATCH(Summary!$D$6,Underlying!$4:$4,0))*(1+(INDEX(Underlying!$A:$K,MATCH($A36,Underlying!$A:$A,0),MATCH(Summary!$D$5,Underlying!$4:$4,0))+INDEX(Underlying!$A:$K,MATCH($A36,Underlying!$A:$A,0),MATCH(Summary!$D$7,Underlying!$4:$4,0)))),0)</f>
        <v>1</v>
      </c>
      <c r="E36" s="79"/>
      <c r="F36" s="78">
        <f>IFERROR(D36*(1+INDEX($A:$P,MATCH($A36,$A:$A,0),MATCH(Summary!$D$6,Model!$A$26:$P$26,0))),D36)</f>
        <v>0.95</v>
      </c>
      <c r="G36" s="79"/>
      <c r="H36" s="78">
        <f>IFERROR(F36*(1+INDEX($A:$P,MATCH($A36,$A:$A,0),MATCH(Summary!$D$6,Model!$A$26:$P$26,0))),F36)</f>
        <v>0.90249999999999997</v>
      </c>
      <c r="I36" s="79"/>
      <c r="J36" s="78">
        <f>IFERROR(H36*(1+INDEX($A:$P,MATCH($A36,$A:$A,0),MATCH(Summary!$D$6,Model!$A$26:$P$26,0))),H36)</f>
        <v>0.85737499999999989</v>
      </c>
      <c r="K36" s="79"/>
      <c r="L36" s="78">
        <f>IFERROR(J36*(1+INDEX($A:$P,MATCH($A36,$A:$A,0),MATCH(Summary!$D$6,Model!$A$26:$P$26,0))),J36)</f>
        <v>0.81450624999999988</v>
      </c>
      <c r="M36" s="5"/>
      <c r="N36" s="129" t="s">
        <v>24</v>
      </c>
      <c r="O36" s="137" t="s">
        <v>24</v>
      </c>
      <c r="P36" s="42">
        <v>-0.05</v>
      </c>
    </row>
    <row r="37" spans="1:17" x14ac:dyDescent="0.35">
      <c r="A37" s="18" t="s">
        <v>38</v>
      </c>
      <c r="B37" s="18"/>
      <c r="C37" s="18"/>
      <c r="D37" s="29">
        <f>IFERROR(INDEX(Underlying!$A:$K,MATCH($A37,Underlying!$A:$A,0),MATCH(Summary!$D$6,Underlying!$4:$4,0))*(1+(INDEX(Underlying!$A:$K,MATCH($A37,Underlying!$A:$A,0),MATCH(Summary!$D$5,Underlying!$4:$4,0))+INDEX(Underlying!$A:$K,MATCH($A37,Underlying!$A:$A,0),MATCH(Summary!$D$7,Underlying!$4:$4,0)))),0)</f>
        <v>2500</v>
      </c>
      <c r="E37" s="23"/>
      <c r="F37" s="29">
        <f>IFERROR(D37*(1+INDEX($A:$P,MATCH($A37,$A:$A,0),MATCH(Summary!$D$6,Model!$A$26:$P$26,0))),D37)</f>
        <v>2250</v>
      </c>
      <c r="G37" s="23"/>
      <c r="H37" s="29">
        <f>IFERROR(F37*(1+INDEX($A:$P,MATCH($A37,$A:$A,0),MATCH(Summary!$D$6,Model!$A$26:$P$26,0))),F37)</f>
        <v>2025</v>
      </c>
      <c r="I37" s="23"/>
      <c r="J37" s="29">
        <f>IFERROR(H37*(1+INDEX($A:$P,MATCH($A37,$A:$A,0),MATCH(Summary!$D$6,Model!$A$26:$P$26,0))),H37)</f>
        <v>1822.5</v>
      </c>
      <c r="K37" s="23"/>
      <c r="L37" s="29">
        <f>IFERROR(J37*(1+INDEX($A:$P,MATCH($A37,$A:$A,0),MATCH(Summary!$D$6,Model!$A$26:$P$26,0))),J37)</f>
        <v>1640.25</v>
      </c>
      <c r="M37" s="5"/>
      <c r="N37" s="129" t="s">
        <v>24</v>
      </c>
      <c r="O37" s="137" t="s">
        <v>24</v>
      </c>
      <c r="P37" s="42">
        <v>-0.1</v>
      </c>
    </row>
    <row r="38" spans="1:17" x14ac:dyDescent="0.35">
      <c r="A38" s="18" t="s">
        <v>39</v>
      </c>
      <c r="B38" s="18"/>
      <c r="C38" s="18"/>
      <c r="D38" s="88">
        <f>IFERROR(INDEX(Underlying!$A:$K,MATCH($A38,Underlying!$A:$A,0),MATCH(Summary!$D$6,Underlying!$4:$4,0))*(1+(INDEX(Underlying!$A:$K,MATCH($A38,Underlying!$A:$A,0),MATCH(Summary!$D$5,Underlying!$4:$4,0))+INDEX(Underlying!$A:$K,MATCH($A38,Underlying!$A:$A,0),MATCH(Summary!$D$7,Underlying!$4:$4,0)))),0)</f>
        <v>2.4</v>
      </c>
      <c r="E38" s="23"/>
      <c r="F38" s="88">
        <f>IFERROR(D38*(1+INDEX($A:$P,MATCH($A38,$A:$A,0),MATCH(Summary!$D$6,Model!$A$26:$P$26,0))),D38)</f>
        <v>2.16</v>
      </c>
      <c r="G38" s="89"/>
      <c r="H38" s="88">
        <f>IFERROR(F38*(1+INDEX($A:$P,MATCH($A38,$A:$A,0),MATCH(Summary!$D$6,Model!$A$26:$P$26,0))),F38)</f>
        <v>1.9440000000000002</v>
      </c>
      <c r="I38" s="89"/>
      <c r="J38" s="88">
        <f>IFERROR(H38*(1+INDEX($A:$P,MATCH($A38,$A:$A,0),MATCH(Summary!$D$6,Model!$A$26:$P$26,0))),H38)</f>
        <v>1.7496000000000003</v>
      </c>
      <c r="K38" s="89"/>
      <c r="L38" s="88">
        <f>IFERROR(J38*(1+INDEX($A:$P,MATCH($A38,$A:$A,0),MATCH(Summary!$D$6,Model!$A$26:$P$26,0))),J38)</f>
        <v>1.5746400000000003</v>
      </c>
      <c r="M38" s="5"/>
      <c r="N38" s="129" t="s">
        <v>24</v>
      </c>
      <c r="O38" s="137" t="s">
        <v>24</v>
      </c>
      <c r="P38" s="42">
        <v>-0.1</v>
      </c>
    </row>
    <row r="39" spans="1:17" x14ac:dyDescent="0.35">
      <c r="A39" s="18" t="s">
        <v>40</v>
      </c>
      <c r="B39" s="18"/>
      <c r="C39" s="18"/>
      <c r="D39" s="76">
        <f>IFERROR(INDEX(Underlying!$A:$K,MATCH($A39,Underlying!$A:$A,0),MATCH(Summary!$D$6,Underlying!$4:$4,0))*(1+(INDEX(Underlying!$A:$K,MATCH($A39,Underlying!$A:$A,0),MATCH(Summary!$D$5,Underlying!$4:$4,0))+INDEX(Underlying!$A:$K,MATCH($A39,Underlying!$A:$A,0),MATCH(Summary!$D$7,Underlying!$4:$4,0)))),0)</f>
        <v>5.2000000000000006E-3</v>
      </c>
      <c r="E39" s="23"/>
      <c r="F39" s="76">
        <f>IFERROR(D39*(1+INDEX($A:$P,MATCH($A39,$A:$A,0),MATCH(Summary!$D$6,Model!$A$26:$P$26,0))),D39)</f>
        <v>4.680000000000001E-3</v>
      </c>
      <c r="G39" s="77"/>
      <c r="H39" s="76">
        <f>IFERROR(F39*(1+INDEX($A:$P,MATCH($A39,$A:$A,0),MATCH(Summary!$D$6,Model!$A$26:$P$26,0))),F39)</f>
        <v>4.2120000000000013E-3</v>
      </c>
      <c r="I39" s="77"/>
      <c r="J39" s="76">
        <f>IFERROR(H39*(1+INDEX($A:$P,MATCH($A39,$A:$A,0),MATCH(Summary!$D$6,Model!$A$26:$P$26,0))),H39)</f>
        <v>3.7908000000000013E-3</v>
      </c>
      <c r="K39" s="77"/>
      <c r="L39" s="76">
        <f>IFERROR(J39*(1+INDEX($A:$P,MATCH($A39,$A:$A,0),MATCH(Summary!$D$6,Model!$A$26:$P$26,0))),J39)</f>
        <v>3.4117200000000013E-3</v>
      </c>
      <c r="M39" s="5"/>
      <c r="N39" s="129" t="s">
        <v>24</v>
      </c>
      <c r="O39" s="137" t="s">
        <v>24</v>
      </c>
      <c r="P39" s="42">
        <v>-0.1</v>
      </c>
    </row>
    <row r="40" spans="1:17" ht="10" customHeight="1" x14ac:dyDescent="0.35">
      <c r="A40" s="18"/>
      <c r="B40" s="18"/>
      <c r="C40" s="18"/>
      <c r="D40" s="23"/>
      <c r="E40" s="23"/>
      <c r="F40" s="34"/>
      <c r="G40" s="23"/>
      <c r="H40" s="34"/>
      <c r="I40" s="23"/>
      <c r="J40" s="34"/>
      <c r="K40" s="23"/>
      <c r="L40" s="34"/>
      <c r="M40" s="5"/>
      <c r="N40" s="127"/>
      <c r="O40" s="136"/>
    </row>
    <row r="41" spans="1:17" x14ac:dyDescent="0.35">
      <c r="A41" s="21" t="s">
        <v>54</v>
      </c>
      <c r="B41" s="21"/>
      <c r="C41" s="21"/>
      <c r="D41" s="35">
        <f>IFERROR(INDEX(Underlying!$A:$K,MATCH($A41,Underlying!$A:$A,0),MATCH(Summary!$D$6,Underlying!$4:$4,0))*(1+(INDEX(Underlying!$A:$K,MATCH($A41,Underlying!$A:$A,0),MATCH(Summary!$D$5,Underlying!$4:$4,0))+INDEX(Underlying!$A:$K,MATCH($A41,Underlying!$A:$A,0),MATCH(Summary!$D$7,Underlying!$4:$4,0)))),0)</f>
        <v>98000</v>
      </c>
      <c r="E41" s="36"/>
      <c r="F41" s="35">
        <f>IFERROR(D41*(1+INDEX($A:$P,MATCH($A41,$A:$A,0),MATCH(Summary!$D$6,Model!$A$26:$P$26,0))),D41)</f>
        <v>98000</v>
      </c>
      <c r="G41" s="36"/>
      <c r="H41" s="35">
        <f>IFERROR(F41*(1+INDEX($A:$P,MATCH($A41,$A:$A,0),MATCH(Summary!$D$6,Model!$A$26:$P$26,0))),F41)</f>
        <v>98000</v>
      </c>
      <c r="I41" s="36"/>
      <c r="J41" s="35">
        <f>IFERROR(H41*(1+INDEX($A:$P,MATCH($A41,$A:$A,0),MATCH(Summary!$D$6,Model!$A$26:$P$26,0))),H41)</f>
        <v>98000</v>
      </c>
      <c r="K41" s="36"/>
      <c r="L41" s="35">
        <f>IFERROR(J41*(1+INDEX($A:$P,MATCH($A41,$A:$A,0),MATCH(Summary!$D$6,Model!$A$26:$P$26,0))),J41)</f>
        <v>98000</v>
      </c>
      <c r="M41" s="5"/>
      <c r="N41" s="128">
        <v>-0.05</v>
      </c>
      <c r="O41" s="139">
        <v>0</v>
      </c>
      <c r="P41" s="139">
        <v>0</v>
      </c>
    </row>
    <row r="42" spans="1:17" x14ac:dyDescent="0.35">
      <c r="A42" s="18" t="s">
        <v>65</v>
      </c>
      <c r="B42" s="18"/>
      <c r="C42" s="18"/>
      <c r="D42" s="40">
        <f>IFERROR(INDEX(Underlying!$A:$K,MATCH($A42,Underlying!$A:$A,0),MATCH(Summary!$D$6,Underlying!$4:$4,0))*(1+(INDEX(Underlying!$A:$K,MATCH($A42,Underlying!$A:$A,0),MATCH(Summary!$D$5,Underlying!$4:$4,0))+INDEX(Underlying!$A:$K,MATCH($A42,Underlying!$A:$A,0),MATCH(Summary!$D$7,Underlying!$4:$4,0)))),0)</f>
        <v>0</v>
      </c>
      <c r="E42" s="150"/>
      <c r="F42" s="24">
        <f>IFERROR(D42*(1+INDEX($A:$P,MATCH($A42,$A:$A,0),MATCH(Summary!$D$6,Model!$A$26:$P$26,0))),D42)</f>
        <v>0</v>
      </c>
      <c r="G42" s="150"/>
      <c r="H42" s="24">
        <f>IFERROR(F42*(1+INDEX($A:$P,MATCH($A42,$A:$A,0),MATCH(Summary!$D$6,Model!$A$26:$P$26,0))),F42)</f>
        <v>0</v>
      </c>
      <c r="I42" s="150"/>
      <c r="J42" s="24">
        <f>IFERROR(H42*(1+INDEX($A:$P,MATCH($A42,$A:$A,0),MATCH(Summary!$D$6,Model!$A$26:$P$26,0))),H42)</f>
        <v>0</v>
      </c>
      <c r="K42" s="150"/>
      <c r="L42" s="24">
        <f>IFERROR(J42*(1+INDEX($A:$P,MATCH($A42,$A:$A,0),MATCH(Summary!$D$6,Model!$A$26:$P$26,0))),J42)</f>
        <v>0</v>
      </c>
      <c r="M42" s="5"/>
      <c r="N42" s="128">
        <v>-0.15</v>
      </c>
      <c r="O42" s="138">
        <v>-0.05</v>
      </c>
      <c r="P42" s="3" t="s">
        <v>24</v>
      </c>
    </row>
    <row r="43" spans="1:17" x14ac:dyDescent="0.35">
      <c r="A43" s="18" t="s">
        <v>55</v>
      </c>
      <c r="B43" s="18"/>
      <c r="C43" s="18"/>
      <c r="D43" s="38">
        <f>IFERROR(INDEX(Underlying!$A:$K,MATCH($A43,Underlying!$A:$A,0),MATCH(Summary!$D$6,Underlying!$4:$4,0))*(1+(INDEX(Underlying!$A:$K,MATCH($A43,Underlying!$A:$A,0),MATCH(Summary!$D$5,Underlying!$4:$4,0))+INDEX(Underlying!$A:$K,MATCH($A43,Underlying!$A:$A,0),MATCH(Summary!$D$7,Underlying!$4:$4,0)))),0)</f>
        <v>0</v>
      </c>
      <c r="E43" s="23"/>
      <c r="F43" s="38">
        <f>IFERROR(D43*(1+INDEX($A:$P,MATCH($A43,$A:$A,0),MATCH(Summary!$D$6,Model!$A$26:$P$26,0))),D43)</f>
        <v>0</v>
      </c>
      <c r="G43" s="23"/>
      <c r="H43" s="38">
        <f>IFERROR(F43*(1+INDEX($A:$P,MATCH($A43,$A:$A,0),MATCH(Summary!$D$6,Model!$A$26:$P$26,0))),F43)</f>
        <v>0</v>
      </c>
      <c r="I43" s="23"/>
      <c r="J43" s="38">
        <f>IFERROR(H43*(1+INDEX($A:$P,MATCH($A43,$A:$A,0),MATCH(Summary!$D$6,Model!$A$26:$P$26,0))),H43)</f>
        <v>0</v>
      </c>
      <c r="K43" s="23"/>
      <c r="L43" s="38">
        <f>IFERROR(J43*(1+INDEX($A:$P,MATCH($A43,$A:$A,0),MATCH(Summary!$D$6,Model!$A$26:$P$26,0))),J43)</f>
        <v>0</v>
      </c>
      <c r="M43" s="5"/>
      <c r="N43" s="126">
        <v>0.1</v>
      </c>
      <c r="O43" s="134">
        <v>0.05</v>
      </c>
      <c r="P43" s="125">
        <v>0.05</v>
      </c>
    </row>
    <row r="44" spans="1:17" x14ac:dyDescent="0.35">
      <c r="A44" s="18" t="s">
        <v>19</v>
      </c>
      <c r="B44" s="18"/>
      <c r="C44" s="18"/>
      <c r="D44" s="29">
        <f>IFERROR(INDEX(Underlying!$A:$K,MATCH($A44,Underlying!$A:$A,0),MATCH(Summary!$D$6,Underlying!$4:$4,0))*(1+(INDEX(Underlying!$A:$K,MATCH($A44,Underlying!$A:$A,0),MATCH(Summary!$D$5,Underlying!$4:$4,0))+INDEX(Underlying!$A:$K,MATCH($A44,Underlying!$A:$A,0),MATCH(Summary!$D$7,Underlying!$4:$4,0)))),0)</f>
        <v>164</v>
      </c>
      <c r="E44" s="23"/>
      <c r="F44" s="37">
        <f>IFERROR(D44*(1+INDEX($A:$P,MATCH($A44,$A:$A,0),MATCH(Summary!$D$6,Model!$A$26:$P$26,0))),D44)</f>
        <v>155.79999999999998</v>
      </c>
      <c r="G44" s="23"/>
      <c r="H44" s="37">
        <f>IFERROR(F44*(1+INDEX($A:$P,MATCH($A44,$A:$A,0),MATCH(Summary!$D$6,Model!$A$26:$P$26,0))),F44)</f>
        <v>148.01</v>
      </c>
      <c r="I44" s="23"/>
      <c r="J44" s="37">
        <f>IFERROR(H44*(1+INDEX($A:$P,MATCH($A44,$A:$A,0),MATCH(Summary!$D$6,Model!$A$26:$P$26,0))),H44)</f>
        <v>140.6095</v>
      </c>
      <c r="K44" s="23"/>
      <c r="L44" s="37">
        <f>IFERROR(J44*(1+INDEX($A:$P,MATCH($A44,$A:$A,0),MATCH(Summary!$D$6,Model!$A$26:$P$26,0))),J44)</f>
        <v>133.579025</v>
      </c>
      <c r="M44" s="5"/>
      <c r="N44" s="128">
        <v>-0.1</v>
      </c>
      <c r="O44" s="138">
        <v>-0.05</v>
      </c>
      <c r="P44" s="43">
        <v>-0.05</v>
      </c>
    </row>
    <row r="45" spans="1:17" x14ac:dyDescent="0.35">
      <c r="A45" s="18" t="s">
        <v>15</v>
      </c>
      <c r="B45" s="18"/>
      <c r="C45" s="18"/>
      <c r="D45" s="40">
        <f>IFERROR(INDEX(Underlying!$A:$K,MATCH($A45,Underlying!$A:$A,0),MATCH(Summary!$D$6,Underlying!$4:$4,0))*(1+(INDEX(Underlying!$A:$K,MATCH($A45,Underlying!$A:$A,0),MATCH(Summary!$D$5,Underlying!$4:$4,0))+INDEX(Underlying!$A:$K,MATCH($A45,Underlying!$A:$A,0),MATCH(Summary!$D$7,Underlying!$4:$4,0)))),0)</f>
        <v>0.19</v>
      </c>
      <c r="E45" s="23"/>
      <c r="F45" s="24">
        <f>IFERROR(D45*(1+INDEX($A:$P,MATCH($A45,$A:$A,0),MATCH(Summary!$D$6,Model!$A$26:$P$26,0))),D45)</f>
        <v>0.19</v>
      </c>
      <c r="G45" s="23"/>
      <c r="H45" s="24">
        <f>IFERROR(F45*(1+INDEX($A:$P,MATCH($A45,$A:$A,0),MATCH(Summary!$D$6,Model!$A$26:$P$26,0))),F45)</f>
        <v>0.19</v>
      </c>
      <c r="I45" s="23"/>
      <c r="J45" s="24">
        <f>IFERROR(H45*(1+INDEX($A:$P,MATCH($A45,$A:$A,0),MATCH(Summary!$D$6,Model!$A$26:$P$26,0))),H45)</f>
        <v>0.19</v>
      </c>
      <c r="K45" s="23"/>
      <c r="L45" s="24">
        <f>IFERROR(J45*(1+INDEX($A:$P,MATCH($A45,$A:$A,0),MATCH(Summary!$D$6,Model!$A$26:$P$26,0))),J45)</f>
        <v>0.19</v>
      </c>
      <c r="M45" s="5"/>
      <c r="N45" s="132">
        <v>0</v>
      </c>
      <c r="O45" s="132">
        <v>0</v>
      </c>
      <c r="P45" s="140">
        <v>0</v>
      </c>
    </row>
    <row r="46" spans="1:17" ht="10" customHeight="1" x14ac:dyDescent="0.35">
      <c r="A46" s="18"/>
      <c r="B46" s="18"/>
      <c r="C46" s="18"/>
      <c r="D46" s="23"/>
      <c r="E46" s="23"/>
      <c r="F46" s="34"/>
      <c r="G46" s="23"/>
      <c r="H46" s="34"/>
      <c r="I46" s="23"/>
      <c r="J46" s="34"/>
      <c r="K46" s="23"/>
      <c r="L46" s="34"/>
      <c r="M46" s="5"/>
      <c r="N46" s="127"/>
      <c r="O46" s="136"/>
    </row>
    <row r="47" spans="1:17" x14ac:dyDescent="0.35">
      <c r="A47" s="21" t="s">
        <v>16</v>
      </c>
      <c r="B47" s="21"/>
      <c r="C47" s="21"/>
      <c r="D47" s="35">
        <f>IFERROR(INDEX(Underlying!$A:$K,MATCH($A47,Underlying!$A:$A,0),MATCH(Summary!$D$6,Underlying!$4:$4,0))*(1+(INDEX(Underlying!$A:$K,MATCH($A47,Underlying!$A:$A,0),MATCH(Summary!$D$5,Underlying!$4:$4,0))+INDEX(Underlying!$A:$K,MATCH($A47,Underlying!$A:$A,0),MATCH(Summary!$D$7,Underlying!$4:$4,0)))),0)</f>
        <v>19.5</v>
      </c>
      <c r="E47" s="36"/>
      <c r="F47" s="35">
        <f>IFERROR(D47*(1+INDEX($A:$P,MATCH($A47,$A:$A,0),MATCH(Summary!$D$6,Model!$A$26:$P$26,0))),D47)</f>
        <v>18.524999999999999</v>
      </c>
      <c r="G47" s="36"/>
      <c r="H47" s="35">
        <f>IFERROR(F47*(1+INDEX($A:$P,MATCH($A47,$A:$A,0),MATCH(Summary!$D$6,Model!$A$26:$P$26,0))),F47)</f>
        <v>17.598749999999999</v>
      </c>
      <c r="I47" s="36"/>
      <c r="J47" s="35">
        <f>IFERROR(H47*(1+INDEX($A:$P,MATCH($A47,$A:$A,0),MATCH(Summary!$D$6,Model!$A$26:$P$26,0))),H47)</f>
        <v>16.718812499999999</v>
      </c>
      <c r="K47" s="36"/>
      <c r="L47" s="35">
        <f>IFERROR(J47*(1+INDEX($A:$P,MATCH($A47,$A:$A,0),MATCH(Summary!$D$6,Model!$A$26:$P$26,0))),J47)</f>
        <v>15.882871874999998</v>
      </c>
      <c r="M47" s="5"/>
      <c r="N47" s="130">
        <v>-0.1</v>
      </c>
      <c r="O47" s="138">
        <v>-0.05</v>
      </c>
      <c r="P47" s="141">
        <v>-0.05</v>
      </c>
      <c r="Q47" s="11"/>
    </row>
    <row r="48" spans="1:17" x14ac:dyDescent="0.35">
      <c r="A48" s="18" t="s">
        <v>59</v>
      </c>
      <c r="B48" s="18"/>
      <c r="C48" s="18"/>
      <c r="D48" s="29">
        <f>IFERROR(INDEX(Underlying!$A:$K,MATCH($A48,Underlying!$A:$A,0),MATCH(Summary!$D$6,Underlying!$4:$4,0))*(1+(INDEX(Underlying!$A:$K,MATCH($A48,Underlying!$A:$A,0),MATCH(Summary!$D$5,Underlying!$4:$4,0))+INDEX(Underlying!$A:$K,MATCH($A48,Underlying!$A:$A,0),MATCH(Summary!$D$7,Underlying!$4:$4,0)))),0)</f>
        <v>1868.75</v>
      </c>
      <c r="E48" s="23"/>
      <c r="F48" s="37">
        <f>IFERROR(D48*(1+INDEX($A:$P,MATCH($A48,$A:$A,0),MATCH(Summary!$D$6,Model!$A$26:$P$26,0))),D48)</f>
        <v>1868.75</v>
      </c>
      <c r="G48" s="23"/>
      <c r="H48" s="37">
        <f>IFERROR(F48*(1+INDEX($A:$P,MATCH($A48,$A:$A,0),MATCH(Summary!$D$6,Model!$A$26:$P$26,0))),F48)</f>
        <v>1868.75</v>
      </c>
      <c r="I48" s="23"/>
      <c r="J48" s="37">
        <f>IFERROR(H48*(1+INDEX($A:$P,MATCH($A48,$A:$A,0),MATCH(Summary!$D$6,Model!$A$26:$P$26,0))),H48)</f>
        <v>1868.75</v>
      </c>
      <c r="K48" s="23"/>
      <c r="L48" s="37">
        <f>IFERROR(J48*(1+INDEX($A:$P,MATCH($A48,$A:$A,0),MATCH(Summary!$D$6,Model!$A$26:$P$26,0))),J48)</f>
        <v>1868.75</v>
      </c>
      <c r="M48" s="5"/>
      <c r="N48" s="130">
        <v>-0.1</v>
      </c>
      <c r="O48" s="138">
        <v>-0.05</v>
      </c>
      <c r="P48" s="141">
        <v>-0.05</v>
      </c>
    </row>
    <row r="49" spans="1:14" s="32" customFormat="1" ht="10" customHeight="1" x14ac:dyDescent="0.35">
      <c r="F49" s="92"/>
      <c r="H49" s="92"/>
      <c r="J49" s="92"/>
      <c r="L49" s="92"/>
      <c r="N49" s="131"/>
    </row>
    <row r="50" spans="1:14" ht="10" customHeight="1" x14ac:dyDescent="0.35">
      <c r="A50" s="90"/>
      <c r="B50" s="90"/>
      <c r="C50" s="90"/>
      <c r="D50" s="90"/>
      <c r="E50" s="90"/>
      <c r="F50" s="91"/>
      <c r="G50" s="90"/>
      <c r="H50" s="91"/>
      <c r="I50" s="90"/>
      <c r="J50" s="91"/>
      <c r="K50" s="90"/>
      <c r="L50" s="91"/>
      <c r="M50" s="32"/>
    </row>
    <row r="57" spans="1:14" ht="10" customHeight="1" x14ac:dyDescent="0.35"/>
  </sheetData>
  <mergeCells count="1">
    <mergeCell ref="N25:P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showGridLines="0" zoomScale="80" zoomScaleNormal="80" workbookViewId="0"/>
  </sheetViews>
  <sheetFormatPr defaultRowHeight="24" customHeight="1" x14ac:dyDescent="0.35"/>
  <cols>
    <col min="1" max="1" width="40.54296875" style="31" customWidth="1"/>
    <col min="2" max="3" width="20.6328125" style="31" customWidth="1"/>
    <col min="4" max="4" width="18.6328125" style="31" customWidth="1"/>
    <col min="5" max="11" width="10.6328125" style="31" customWidth="1"/>
    <col min="12" max="12" width="10.54296875" style="1" bestFit="1" customWidth="1"/>
    <col min="13" max="13" width="12.36328125" style="1" bestFit="1" customWidth="1"/>
    <col min="14" max="14" width="8.7265625" style="1"/>
    <col min="15" max="16384" width="8.7265625" style="31"/>
  </cols>
  <sheetData>
    <row r="1" spans="1:14" ht="21" x14ac:dyDescent="0.35">
      <c r="A1" s="10" t="s">
        <v>100</v>
      </c>
      <c r="B1" s="46"/>
      <c r="C1" s="46"/>
    </row>
    <row r="2" spans="1:14" ht="14" x14ac:dyDescent="0.35"/>
    <row r="3" spans="1:14" ht="14" x14ac:dyDescent="0.35">
      <c r="A3" s="182" t="s">
        <v>63</v>
      </c>
      <c r="B3" s="183"/>
      <c r="C3" s="183"/>
      <c r="D3" s="184"/>
      <c r="E3" s="185" t="s">
        <v>61</v>
      </c>
      <c r="F3" s="186"/>
      <c r="G3" s="186"/>
      <c r="H3" s="185" t="s">
        <v>62</v>
      </c>
      <c r="I3" s="186"/>
      <c r="J3" s="186"/>
      <c r="K3" s="187"/>
    </row>
    <row r="4" spans="1:14" ht="123" customHeight="1" x14ac:dyDescent="0.35">
      <c r="A4" s="47" t="s">
        <v>21</v>
      </c>
      <c r="B4" s="48" t="s">
        <v>26</v>
      </c>
      <c r="C4" s="48" t="s">
        <v>27</v>
      </c>
      <c r="D4" s="48" t="s">
        <v>31</v>
      </c>
      <c r="E4" s="49" t="s">
        <v>41</v>
      </c>
      <c r="F4" s="49" t="s">
        <v>43</v>
      </c>
      <c r="G4" s="49" t="s">
        <v>42</v>
      </c>
      <c r="H4" s="49" t="s">
        <v>23</v>
      </c>
      <c r="I4" s="49" t="s">
        <v>22</v>
      </c>
      <c r="J4" s="49" t="s">
        <v>32</v>
      </c>
      <c r="K4" s="49" t="s">
        <v>28</v>
      </c>
    </row>
    <row r="5" spans="1:14" s="58" customFormat="1" ht="24" customHeight="1" x14ac:dyDescent="0.35">
      <c r="A5" s="64" t="s">
        <v>34</v>
      </c>
      <c r="B5" s="71"/>
      <c r="C5" s="59"/>
      <c r="D5" s="60"/>
      <c r="E5" s="61"/>
      <c r="F5" s="61"/>
      <c r="G5" s="61"/>
      <c r="H5" s="62"/>
      <c r="I5" s="62"/>
      <c r="J5" s="62"/>
      <c r="K5" s="63"/>
      <c r="L5" s="153"/>
      <c r="M5" s="153"/>
      <c r="N5" s="153"/>
    </row>
    <row r="6" spans="1:14" ht="24" customHeight="1" x14ac:dyDescent="0.35">
      <c r="A6" s="69" t="s">
        <v>46</v>
      </c>
      <c r="B6" s="57">
        <v>10</v>
      </c>
      <c r="C6" s="57">
        <v>10</v>
      </c>
      <c r="D6" s="142">
        <v>10</v>
      </c>
      <c r="E6" s="105">
        <f>0%</f>
        <v>0</v>
      </c>
      <c r="F6" s="105">
        <f>0%</f>
        <v>0</v>
      </c>
      <c r="G6" s="106">
        <f>0%</f>
        <v>0</v>
      </c>
      <c r="H6" s="111">
        <v>1</v>
      </c>
      <c r="I6" s="111">
        <v>0.2</v>
      </c>
      <c r="J6" s="116">
        <f>0%</f>
        <v>0</v>
      </c>
      <c r="K6" s="106">
        <f>0%</f>
        <v>0</v>
      </c>
    </row>
    <row r="7" spans="1:14" ht="24" customHeight="1" x14ac:dyDescent="0.35">
      <c r="A7" s="69" t="s">
        <v>53</v>
      </c>
      <c r="B7" s="57">
        <v>250</v>
      </c>
      <c r="C7" s="57">
        <v>250</v>
      </c>
      <c r="D7" s="156">
        <v>250</v>
      </c>
      <c r="E7" s="105">
        <f>0%</f>
        <v>0</v>
      </c>
      <c r="F7" s="105">
        <f>0%</f>
        <v>0</v>
      </c>
      <c r="G7" s="106">
        <f>0%</f>
        <v>0</v>
      </c>
      <c r="H7" s="105">
        <f>0%</f>
        <v>0</v>
      </c>
      <c r="I7" s="105">
        <f>0%</f>
        <v>0</v>
      </c>
      <c r="J7" s="117">
        <f>0%</f>
        <v>0</v>
      </c>
      <c r="K7" s="106">
        <f>0%</f>
        <v>0</v>
      </c>
    </row>
    <row r="8" spans="1:14" ht="24" customHeight="1" x14ac:dyDescent="0.35">
      <c r="A8" s="50" t="s">
        <v>45</v>
      </c>
      <c r="B8" s="56">
        <v>0</v>
      </c>
      <c r="C8" s="56">
        <v>1000</v>
      </c>
      <c r="D8" s="53">
        <v>0</v>
      </c>
      <c r="E8" s="107">
        <v>-0.15</v>
      </c>
      <c r="F8" s="108">
        <v>0.3</v>
      </c>
      <c r="G8" s="106">
        <f>0%</f>
        <v>0</v>
      </c>
      <c r="H8" s="111">
        <v>0.5</v>
      </c>
      <c r="I8" s="111">
        <v>0.1</v>
      </c>
      <c r="J8" s="117">
        <f>0%</f>
        <v>0</v>
      </c>
      <c r="K8" s="106">
        <f>0%</f>
        <v>0</v>
      </c>
    </row>
    <row r="9" spans="1:14" ht="24" customHeight="1" x14ac:dyDescent="0.35">
      <c r="A9" s="50" t="s">
        <v>52</v>
      </c>
      <c r="B9" s="144">
        <v>16</v>
      </c>
      <c r="C9" s="144">
        <v>16</v>
      </c>
      <c r="D9" s="145">
        <v>16</v>
      </c>
      <c r="E9" s="107">
        <v>-0.05</v>
      </c>
      <c r="F9" s="111">
        <v>0.05</v>
      </c>
      <c r="G9" s="106">
        <f>0%</f>
        <v>0</v>
      </c>
      <c r="H9" s="111">
        <v>0.1</v>
      </c>
      <c r="I9" s="111">
        <v>0.05</v>
      </c>
      <c r="J9" s="117">
        <f>0%</f>
        <v>0</v>
      </c>
      <c r="K9" s="106">
        <f>0%</f>
        <v>0</v>
      </c>
    </row>
    <row r="10" spans="1:14" ht="24" customHeight="1" x14ac:dyDescent="0.35">
      <c r="A10" s="85" t="s">
        <v>51</v>
      </c>
      <c r="B10" s="144">
        <v>4</v>
      </c>
      <c r="C10" s="144">
        <v>4</v>
      </c>
      <c r="D10" s="145">
        <v>4</v>
      </c>
      <c r="E10" s="105">
        <f>0%</f>
        <v>0</v>
      </c>
      <c r="F10" s="105">
        <f>0%</f>
        <v>0</v>
      </c>
      <c r="G10" s="106">
        <f>0%</f>
        <v>0</v>
      </c>
      <c r="H10" s="105">
        <f>0%</f>
        <v>0</v>
      </c>
      <c r="I10" s="105">
        <f>0%</f>
        <v>0</v>
      </c>
      <c r="J10" s="117">
        <f>0%</f>
        <v>0</v>
      </c>
      <c r="K10" s="106">
        <f>0%</f>
        <v>0</v>
      </c>
    </row>
    <row r="11" spans="1:14" ht="24" customHeight="1" x14ac:dyDescent="0.35">
      <c r="A11" s="51" t="s">
        <v>48</v>
      </c>
      <c r="B11" s="56">
        <v>82</v>
      </c>
      <c r="C11" s="56">
        <v>82</v>
      </c>
      <c r="D11" s="53">
        <v>82</v>
      </c>
      <c r="E11" s="110">
        <f>0%</f>
        <v>0</v>
      </c>
      <c r="F11" s="105">
        <f>0%</f>
        <v>0</v>
      </c>
      <c r="G11" s="106">
        <f>0%</f>
        <v>0</v>
      </c>
      <c r="H11" s="105">
        <f>0%</f>
        <v>0</v>
      </c>
      <c r="I11" s="105">
        <f>0%</f>
        <v>0</v>
      </c>
      <c r="J11" s="117">
        <f>0%</f>
        <v>0</v>
      </c>
      <c r="K11" s="106">
        <f>0%</f>
        <v>0</v>
      </c>
    </row>
    <row r="12" spans="1:14" ht="24" customHeight="1" x14ac:dyDescent="0.35">
      <c r="A12" s="50" t="s">
        <v>14</v>
      </c>
      <c r="B12" s="56">
        <v>10</v>
      </c>
      <c r="C12" s="56">
        <v>10</v>
      </c>
      <c r="D12" s="53">
        <v>10</v>
      </c>
      <c r="E12" s="110">
        <f>0%</f>
        <v>0</v>
      </c>
      <c r="F12" s="105">
        <f>0%</f>
        <v>0</v>
      </c>
      <c r="G12" s="106">
        <f>0%</f>
        <v>0</v>
      </c>
      <c r="H12" s="111">
        <v>0.1</v>
      </c>
      <c r="I12" s="111">
        <v>0.05</v>
      </c>
      <c r="J12" s="117">
        <f>0%</f>
        <v>0</v>
      </c>
      <c r="K12" s="106">
        <f>0%</f>
        <v>0</v>
      </c>
    </row>
    <row r="13" spans="1:14" ht="24" customHeight="1" x14ac:dyDescent="0.35">
      <c r="A13" s="64" t="s">
        <v>36</v>
      </c>
      <c r="B13" s="68"/>
      <c r="C13" s="68"/>
      <c r="D13" s="68"/>
      <c r="E13" s="65"/>
      <c r="F13" s="65"/>
      <c r="G13" s="70"/>
      <c r="H13" s="66"/>
      <c r="I13" s="66"/>
      <c r="J13" s="70"/>
      <c r="K13" s="67"/>
    </row>
    <row r="14" spans="1:14" ht="24" customHeight="1" x14ac:dyDescent="0.35">
      <c r="A14" s="50" t="s">
        <v>37</v>
      </c>
      <c r="B14" s="143" t="s">
        <v>24</v>
      </c>
      <c r="C14" s="143" t="s">
        <v>24</v>
      </c>
      <c r="D14" s="151">
        <v>1</v>
      </c>
      <c r="E14" s="105">
        <f>0%</f>
        <v>0</v>
      </c>
      <c r="F14" s="105">
        <f>0%</f>
        <v>0</v>
      </c>
      <c r="G14" s="106">
        <f>0%</f>
        <v>0</v>
      </c>
      <c r="H14" s="105">
        <f>0%</f>
        <v>0</v>
      </c>
      <c r="I14" s="105">
        <f>0%</f>
        <v>0</v>
      </c>
      <c r="J14" s="117">
        <f>0%</f>
        <v>0</v>
      </c>
      <c r="K14" s="106">
        <f>0%</f>
        <v>0</v>
      </c>
    </row>
    <row r="15" spans="1:14" ht="24" customHeight="1" x14ac:dyDescent="0.35">
      <c r="A15" s="50" t="s">
        <v>38</v>
      </c>
      <c r="B15" s="56" t="s">
        <v>24</v>
      </c>
      <c r="C15" s="56" t="s">
        <v>24</v>
      </c>
      <c r="D15" s="53">
        <f>20000/D6</f>
        <v>2000</v>
      </c>
      <c r="E15" s="107">
        <v>-0.05</v>
      </c>
      <c r="F15" s="108">
        <v>0.1</v>
      </c>
      <c r="G15" s="106">
        <f>0%</f>
        <v>0</v>
      </c>
      <c r="H15" s="111">
        <v>0.15</v>
      </c>
      <c r="I15" s="111">
        <v>0.1</v>
      </c>
      <c r="J15" s="117">
        <f>0%</f>
        <v>0</v>
      </c>
      <c r="K15" s="106">
        <f>0%</f>
        <v>0</v>
      </c>
    </row>
    <row r="16" spans="1:14" ht="24" customHeight="1" x14ac:dyDescent="0.35">
      <c r="A16" s="50" t="s">
        <v>39</v>
      </c>
      <c r="B16" s="56" t="s">
        <v>24</v>
      </c>
      <c r="C16" s="56" t="s">
        <v>24</v>
      </c>
      <c r="D16" s="86">
        <v>2.4</v>
      </c>
      <c r="E16" s="105">
        <f>0%</f>
        <v>0</v>
      </c>
      <c r="F16" s="105">
        <f>0%</f>
        <v>0</v>
      </c>
      <c r="G16" s="106">
        <f>0%</f>
        <v>0</v>
      </c>
      <c r="H16" s="105">
        <f>0%</f>
        <v>0</v>
      </c>
      <c r="I16" s="105">
        <f>0%</f>
        <v>0</v>
      </c>
      <c r="J16" s="117">
        <f>0%</f>
        <v>0</v>
      </c>
      <c r="K16" s="106">
        <f>0%</f>
        <v>0</v>
      </c>
    </row>
    <row r="17" spans="1:12" ht="24" customHeight="1" x14ac:dyDescent="0.35">
      <c r="A17" s="50" t="s">
        <v>40</v>
      </c>
      <c r="B17" s="56" t="s">
        <v>24</v>
      </c>
      <c r="C17" s="56" t="s">
        <v>24</v>
      </c>
      <c r="D17" s="87">
        <v>4.0000000000000001E-3</v>
      </c>
      <c r="E17" s="109">
        <v>-0.15</v>
      </c>
      <c r="F17" s="108">
        <v>0.2</v>
      </c>
      <c r="G17" s="106">
        <f>0%</f>
        <v>0</v>
      </c>
      <c r="H17" s="111">
        <v>0.1</v>
      </c>
      <c r="I17" s="111">
        <v>0.05</v>
      </c>
      <c r="J17" s="117">
        <f>0%</f>
        <v>0</v>
      </c>
      <c r="K17" s="106">
        <f>0%</f>
        <v>0</v>
      </c>
    </row>
    <row r="18" spans="1:12" ht="24" customHeight="1" x14ac:dyDescent="0.35">
      <c r="A18" s="64" t="s">
        <v>56</v>
      </c>
      <c r="B18" s="68"/>
      <c r="C18" s="68"/>
      <c r="D18" s="68"/>
      <c r="E18" s="65"/>
      <c r="F18" s="65"/>
      <c r="G18" s="70"/>
      <c r="H18" s="66"/>
      <c r="I18" s="66"/>
      <c r="J18" s="70"/>
      <c r="K18" s="67"/>
    </row>
    <row r="19" spans="1:12" ht="24" customHeight="1" x14ac:dyDescent="0.35">
      <c r="A19" s="50" t="s">
        <v>54</v>
      </c>
      <c r="B19" s="56">
        <v>98000</v>
      </c>
      <c r="C19" s="56">
        <v>98000</v>
      </c>
      <c r="D19" s="146">
        <v>98000</v>
      </c>
      <c r="E19" s="110">
        <f>0%</f>
        <v>0</v>
      </c>
      <c r="F19" s="105">
        <f>0%</f>
        <v>0</v>
      </c>
      <c r="G19" s="106">
        <f>0%</f>
        <v>0</v>
      </c>
      <c r="H19" s="105">
        <f>0%</f>
        <v>0</v>
      </c>
      <c r="I19" s="105">
        <f>0%</f>
        <v>0</v>
      </c>
      <c r="J19" s="117">
        <f>0%</f>
        <v>0</v>
      </c>
      <c r="K19" s="106">
        <f>0%</f>
        <v>0</v>
      </c>
    </row>
    <row r="20" spans="1:12" ht="24" customHeight="1" x14ac:dyDescent="0.35">
      <c r="A20" s="50" t="s">
        <v>65</v>
      </c>
      <c r="B20" s="147" t="s">
        <v>24</v>
      </c>
      <c r="C20" s="148">
        <v>0.2</v>
      </c>
      <c r="D20" s="148" t="s">
        <v>24</v>
      </c>
      <c r="E20" s="110">
        <f>0%</f>
        <v>0</v>
      </c>
      <c r="F20" s="105">
        <f>0%</f>
        <v>0</v>
      </c>
      <c r="G20" s="106">
        <f>0%</f>
        <v>0</v>
      </c>
      <c r="H20" s="111">
        <v>0.15</v>
      </c>
      <c r="I20" s="111">
        <v>0.1</v>
      </c>
      <c r="J20" s="117">
        <f>0%</f>
        <v>0</v>
      </c>
      <c r="K20" s="106">
        <f>0%</f>
        <v>0</v>
      </c>
    </row>
    <row r="21" spans="1:12" ht="24" customHeight="1" x14ac:dyDescent="0.35">
      <c r="A21" s="50" t="s">
        <v>55</v>
      </c>
      <c r="B21" s="147" t="s">
        <v>24</v>
      </c>
      <c r="C21" s="147">
        <v>3</v>
      </c>
      <c r="D21" s="147" t="s">
        <v>24</v>
      </c>
      <c r="E21" s="110">
        <f>0%</f>
        <v>0</v>
      </c>
      <c r="F21" s="105">
        <f>0%</f>
        <v>0</v>
      </c>
      <c r="G21" s="106">
        <f>0%</f>
        <v>0</v>
      </c>
      <c r="H21" s="105">
        <f>0%</f>
        <v>0</v>
      </c>
      <c r="I21" s="105">
        <f>0%</f>
        <v>0</v>
      </c>
      <c r="J21" s="117">
        <f>0%</f>
        <v>0</v>
      </c>
      <c r="K21" s="106">
        <f>0%</f>
        <v>0</v>
      </c>
    </row>
    <row r="22" spans="1:12" ht="24" customHeight="1" x14ac:dyDescent="0.35">
      <c r="A22" s="50" t="s">
        <v>19</v>
      </c>
      <c r="B22" s="56">
        <f>2*82</f>
        <v>164</v>
      </c>
      <c r="C22" s="56">
        <f>2*82</f>
        <v>164</v>
      </c>
      <c r="D22" s="56">
        <f>2*82</f>
        <v>164</v>
      </c>
      <c r="E22" s="110">
        <f>0%</f>
        <v>0</v>
      </c>
      <c r="F22" s="105">
        <f>0%</f>
        <v>0</v>
      </c>
      <c r="G22" s="106">
        <f>0%</f>
        <v>0</v>
      </c>
      <c r="H22" s="105">
        <f>0%</f>
        <v>0</v>
      </c>
      <c r="I22" s="105">
        <f>0%</f>
        <v>0</v>
      </c>
      <c r="J22" s="117">
        <f>0%</f>
        <v>0</v>
      </c>
      <c r="K22" s="106">
        <f>0%</f>
        <v>0</v>
      </c>
    </row>
    <row r="23" spans="1:12" ht="24" customHeight="1" x14ac:dyDescent="0.35">
      <c r="A23" s="50" t="s">
        <v>15</v>
      </c>
      <c r="B23" s="148">
        <v>0.19</v>
      </c>
      <c r="C23" s="148">
        <v>0.19</v>
      </c>
      <c r="D23" s="149">
        <v>0.19</v>
      </c>
      <c r="E23" s="110">
        <f>0%</f>
        <v>0</v>
      </c>
      <c r="F23" s="105">
        <f>0%</f>
        <v>0</v>
      </c>
      <c r="G23" s="112">
        <v>0</v>
      </c>
      <c r="H23" s="118">
        <v>0</v>
      </c>
      <c r="I23" s="119">
        <v>0</v>
      </c>
      <c r="J23" s="120">
        <v>0</v>
      </c>
      <c r="K23" s="112">
        <v>0</v>
      </c>
    </row>
    <row r="24" spans="1:12" ht="24" customHeight="1" x14ac:dyDescent="0.35">
      <c r="A24" s="64" t="s">
        <v>35</v>
      </c>
      <c r="B24" s="81"/>
      <c r="C24" s="81"/>
      <c r="D24" s="81"/>
      <c r="E24" s="65"/>
      <c r="F24" s="65"/>
      <c r="G24" s="82"/>
      <c r="H24" s="83"/>
      <c r="I24" s="83"/>
      <c r="J24" s="82"/>
      <c r="K24" s="84"/>
    </row>
    <row r="25" spans="1:12" ht="24" customHeight="1" x14ac:dyDescent="0.35">
      <c r="A25" s="50" t="s">
        <v>16</v>
      </c>
      <c r="B25" s="56">
        <v>15</v>
      </c>
      <c r="C25" s="56">
        <v>15</v>
      </c>
      <c r="D25" s="53">
        <v>15</v>
      </c>
      <c r="E25" s="109">
        <v>-0.1</v>
      </c>
      <c r="F25" s="108">
        <v>0.2</v>
      </c>
      <c r="G25" s="106">
        <f>0%</f>
        <v>0</v>
      </c>
      <c r="H25" s="111">
        <v>0.1</v>
      </c>
      <c r="I25" s="111">
        <v>0.05</v>
      </c>
      <c r="J25" s="117">
        <f>0%</f>
        <v>0</v>
      </c>
      <c r="K25" s="106">
        <f>0%</f>
        <v>0</v>
      </c>
    </row>
    <row r="26" spans="1:12" ht="24" customHeight="1" x14ac:dyDescent="0.35">
      <c r="A26" s="52" t="s">
        <v>59</v>
      </c>
      <c r="B26" s="152">
        <v>1495</v>
      </c>
      <c r="C26" s="152">
        <v>1495</v>
      </c>
      <c r="D26" s="152">
        <v>1495</v>
      </c>
      <c r="E26" s="113">
        <v>-0.05</v>
      </c>
      <c r="F26" s="114">
        <v>0.1</v>
      </c>
      <c r="G26" s="115">
        <f>0%</f>
        <v>0</v>
      </c>
      <c r="H26" s="121">
        <v>0.15</v>
      </c>
      <c r="I26" s="122">
        <v>0.05</v>
      </c>
      <c r="J26" s="123">
        <f>0%</f>
        <v>0</v>
      </c>
      <c r="K26" s="115">
        <f>0%</f>
        <v>0</v>
      </c>
    </row>
    <row r="28" spans="1:12" ht="24" customHeight="1" x14ac:dyDescent="0.35">
      <c r="A28" s="95" t="s">
        <v>17</v>
      </c>
      <c r="B28" s="96"/>
      <c r="C28" s="96"/>
      <c r="D28" s="96"/>
      <c r="E28" s="96"/>
      <c r="F28" s="97"/>
      <c r="G28" s="96"/>
      <c r="H28" s="97"/>
      <c r="I28" s="96"/>
      <c r="J28" s="98"/>
      <c r="K28" s="85"/>
      <c r="L28" s="98"/>
    </row>
    <row r="29" spans="1:12" ht="24" customHeight="1" x14ac:dyDescent="0.35">
      <c r="A29" s="96" t="s">
        <v>67</v>
      </c>
      <c r="B29" s="94"/>
      <c r="C29" s="94"/>
      <c r="D29" s="94"/>
      <c r="E29" s="99">
        <f>SUM(Model!D6:D8)</f>
        <v>115146</v>
      </c>
      <c r="F29" s="99">
        <f>SUM(Model!F6:F8)</f>
        <v>3879.5624999999995</v>
      </c>
      <c r="G29" s="99">
        <f>SUM(Model!H6:H8)</f>
        <v>3687.8697187499997</v>
      </c>
      <c r="H29" s="99">
        <f>SUM(Model!J6:J8)</f>
        <v>3506.4497787539058</v>
      </c>
      <c r="I29" s="99">
        <f>SUM(Model!L6:L8)</f>
        <v>3334.7771416263458</v>
      </c>
      <c r="J29" s="93"/>
      <c r="K29" s="93"/>
      <c r="L29" s="85"/>
    </row>
    <row r="30" spans="1:12" ht="24" customHeight="1" x14ac:dyDescent="0.35">
      <c r="A30" s="96" t="s">
        <v>68</v>
      </c>
      <c r="B30" s="94"/>
      <c r="C30" s="94"/>
      <c r="D30" s="94"/>
      <c r="E30" s="99">
        <f>SUM(Model!D11:D12)</f>
        <v>50005.764798219207</v>
      </c>
      <c r="F30" s="99">
        <f>SUM(Model!F11:F12)</f>
        <v>42755.662818397286</v>
      </c>
      <c r="G30" s="99">
        <f>SUM(Model!H11:H12)</f>
        <v>36556.821036557558</v>
      </c>
      <c r="H30" s="99">
        <f>SUM(Model!J11:J12)</f>
        <v>31256.807182901794</v>
      </c>
      <c r="I30" s="99">
        <f>SUM(Model!L11:L12)</f>
        <v>26725.291620861612</v>
      </c>
      <c r="J30" s="93"/>
      <c r="K30" s="93"/>
      <c r="L30" s="85"/>
    </row>
    <row r="31" spans="1:12" ht="24" customHeight="1" x14ac:dyDescent="0.35">
      <c r="A31" s="96" t="s">
        <v>69</v>
      </c>
      <c r="B31" s="94"/>
      <c r="C31" s="94"/>
      <c r="D31" s="94"/>
      <c r="E31" s="99">
        <f>SUM(Model!D15:D17)</f>
        <v>142280</v>
      </c>
      <c r="F31" s="99">
        <f>SUM(Model!F15:F17)</f>
        <v>142013.5</v>
      </c>
      <c r="G31" s="99">
        <f>SUM(Model!H15:H17)</f>
        <v>141755.45624999999</v>
      </c>
      <c r="H31" s="99">
        <f>SUM(Model!J15:J17)</f>
        <v>141505.458109375</v>
      </c>
      <c r="I31" s="99">
        <f>SUM(Model!L15:L17)</f>
        <v>141263.11543910156</v>
      </c>
      <c r="J31" s="93"/>
      <c r="K31" s="93"/>
      <c r="L31" s="85"/>
    </row>
    <row r="32" spans="1:12" ht="24" customHeight="1" x14ac:dyDescent="0.35">
      <c r="A32" s="96" t="s">
        <v>70</v>
      </c>
      <c r="B32" s="94"/>
      <c r="C32" s="94"/>
      <c r="D32" s="94"/>
      <c r="E32" s="99">
        <f>SUM(Model!D20:D21)</f>
        <v>19662.5</v>
      </c>
      <c r="F32" s="99">
        <f>SUM(Model!F20:F21)</f>
        <v>18772.8125</v>
      </c>
      <c r="G32" s="99">
        <f>SUM(Model!H20:H21)</f>
        <v>17927.609375</v>
      </c>
      <c r="H32" s="99">
        <f>SUM(Model!J20:J21)</f>
        <v>17124.666406249999</v>
      </c>
      <c r="I32" s="99">
        <f>SUM(Model!L20:L21)</f>
        <v>16361.870585937499</v>
      </c>
      <c r="J32" s="93"/>
      <c r="K32" s="93"/>
      <c r="L32" s="85"/>
    </row>
    <row r="33" spans="1:12" ht="24" customHeight="1" x14ac:dyDescent="0.35">
      <c r="A33" s="96"/>
      <c r="B33" s="96"/>
      <c r="C33" s="96"/>
      <c r="D33" s="99"/>
      <c r="E33" s="97"/>
      <c r="F33" s="99"/>
      <c r="G33" s="97"/>
      <c r="H33" s="99"/>
      <c r="I33" s="97"/>
      <c r="J33" s="100"/>
      <c r="K33" s="98"/>
      <c r="L33" s="100"/>
    </row>
    <row r="34" spans="1:12" ht="24" customHeight="1" x14ac:dyDescent="0.35">
      <c r="A34" s="103" t="s">
        <v>18</v>
      </c>
      <c r="B34" s="101"/>
      <c r="C34" s="103" t="s">
        <v>66</v>
      </c>
      <c r="D34" s="155"/>
      <c r="E34" s="155"/>
      <c r="F34" s="102"/>
      <c r="G34" s="101"/>
      <c r="H34" s="102"/>
      <c r="I34" s="101"/>
      <c r="J34" s="98"/>
      <c r="K34" s="85"/>
      <c r="L34" s="98"/>
    </row>
    <row r="35" spans="1:12" ht="24" customHeight="1" x14ac:dyDescent="0.35">
      <c r="A35" s="104" t="s">
        <v>10</v>
      </c>
      <c r="B35" s="96"/>
      <c r="C35" s="104" t="s">
        <v>41</v>
      </c>
      <c r="D35" s="104" t="s">
        <v>26</v>
      </c>
      <c r="E35" s="104" t="s">
        <v>22</v>
      </c>
      <c r="F35" s="97"/>
      <c r="G35" s="96"/>
      <c r="H35" s="97"/>
      <c r="I35" s="96"/>
      <c r="J35" s="98"/>
      <c r="K35" s="85"/>
      <c r="L35" s="98"/>
    </row>
    <row r="36" spans="1:12" ht="24" customHeight="1" x14ac:dyDescent="0.35">
      <c r="A36" s="104" t="s">
        <v>7</v>
      </c>
      <c r="B36" s="96"/>
      <c r="C36" s="104" t="s">
        <v>42</v>
      </c>
      <c r="D36" s="104" t="s">
        <v>27</v>
      </c>
      <c r="E36" s="104" t="s">
        <v>23</v>
      </c>
      <c r="F36" s="97"/>
      <c r="G36" s="96"/>
      <c r="H36" s="97"/>
      <c r="I36" s="96"/>
      <c r="J36" s="98"/>
      <c r="K36" s="85"/>
      <c r="L36" s="98"/>
    </row>
    <row r="37" spans="1:12" ht="24" customHeight="1" x14ac:dyDescent="0.35">
      <c r="A37" s="104" t="s">
        <v>8</v>
      </c>
      <c r="B37" s="96"/>
      <c r="C37" s="104" t="s">
        <v>43</v>
      </c>
      <c r="D37" s="104" t="s">
        <v>31</v>
      </c>
      <c r="E37" s="104" t="s">
        <v>28</v>
      </c>
      <c r="F37" s="97"/>
      <c r="G37" s="96"/>
      <c r="H37" s="97"/>
      <c r="I37" s="96"/>
      <c r="J37" s="98"/>
      <c r="K37" s="85"/>
      <c r="L37" s="98"/>
    </row>
    <row r="38" spans="1:12" ht="24" customHeight="1" x14ac:dyDescent="0.35">
      <c r="A38" s="104" t="s">
        <v>9</v>
      </c>
      <c r="B38" s="96"/>
      <c r="C38" s="104"/>
      <c r="D38" s="104"/>
      <c r="E38" s="104" t="s">
        <v>32</v>
      </c>
      <c r="F38" s="97"/>
      <c r="G38" s="96"/>
      <c r="H38" s="97"/>
      <c r="I38" s="96"/>
      <c r="J38" s="98"/>
      <c r="K38" s="85"/>
      <c r="L38" s="98"/>
    </row>
    <row r="39" spans="1:12" ht="24" customHeight="1" x14ac:dyDescent="0.35">
      <c r="A39" s="104" t="s">
        <v>11</v>
      </c>
      <c r="B39" s="96"/>
      <c r="C39" s="96"/>
      <c r="D39" s="96"/>
      <c r="E39" s="96"/>
      <c r="F39" s="97"/>
      <c r="G39" s="96"/>
      <c r="H39" s="97"/>
      <c r="I39" s="96"/>
      <c r="J39" s="98"/>
      <c r="K39" s="85"/>
      <c r="L39" s="98"/>
    </row>
    <row r="40" spans="1:12" ht="24" customHeight="1" x14ac:dyDescent="0.35">
      <c r="A40" s="154"/>
      <c r="B40" s="153"/>
      <c r="C40" s="153"/>
      <c r="D40" s="153"/>
      <c r="E40" s="153"/>
      <c r="F40" s="154"/>
      <c r="G40" s="153"/>
      <c r="H40" s="154"/>
      <c r="I40" s="153"/>
      <c r="J40" s="98"/>
      <c r="K40" s="85"/>
      <c r="L40" s="98"/>
    </row>
    <row r="41" spans="1:12" ht="24" customHeight="1" x14ac:dyDescent="0.35">
      <c r="A41" s="85"/>
      <c r="B41" s="85"/>
      <c r="C41" s="85"/>
      <c r="D41" s="85"/>
      <c r="E41" s="85"/>
      <c r="F41" s="98"/>
      <c r="G41" s="85"/>
      <c r="H41" s="98"/>
      <c r="I41" s="85"/>
      <c r="J41" s="98"/>
      <c r="K41" s="85"/>
      <c r="L41" s="98"/>
    </row>
    <row r="42" spans="1:12" ht="24" customHeight="1" x14ac:dyDescent="0.35">
      <c r="A42" s="93"/>
      <c r="B42" s="93"/>
      <c r="C42" s="93"/>
      <c r="D42" s="85"/>
      <c r="E42" s="85"/>
      <c r="F42" s="98"/>
      <c r="G42" s="85"/>
      <c r="H42" s="98"/>
      <c r="I42" s="85"/>
      <c r="J42" s="98"/>
      <c r="K42" s="85"/>
      <c r="L42" s="98"/>
    </row>
    <row r="43" spans="1:12" ht="24" customHeight="1" x14ac:dyDescent="0.35">
      <c r="A43" s="93"/>
      <c r="B43" s="93"/>
      <c r="C43" s="93"/>
      <c r="D43" s="85"/>
      <c r="E43" s="85"/>
      <c r="F43" s="98"/>
      <c r="G43" s="85"/>
      <c r="H43" s="98"/>
      <c r="I43" s="85"/>
      <c r="J43" s="98"/>
      <c r="K43" s="85"/>
      <c r="L43" s="98"/>
    </row>
    <row r="44" spans="1:12" ht="24" customHeight="1" x14ac:dyDescent="0.35">
      <c r="A44" s="93"/>
      <c r="B44" s="93"/>
      <c r="C44" s="93"/>
      <c r="D44" s="85"/>
      <c r="E44" s="85"/>
      <c r="F44" s="98"/>
      <c r="G44" s="85"/>
      <c r="H44" s="98"/>
      <c r="I44" s="85"/>
      <c r="J44" s="98"/>
      <c r="K44" s="85"/>
      <c r="L44" s="98"/>
    </row>
    <row r="45" spans="1:12" ht="24" customHeight="1" x14ac:dyDescent="0.35">
      <c r="A45" s="93"/>
      <c r="B45" s="93"/>
      <c r="C45" s="93"/>
      <c r="D45" s="85"/>
      <c r="E45" s="85"/>
      <c r="F45" s="98"/>
      <c r="G45" s="85"/>
      <c r="H45" s="98"/>
      <c r="I45" s="85"/>
      <c r="J45" s="98"/>
      <c r="K45" s="85"/>
      <c r="L45" s="98"/>
    </row>
    <row r="46" spans="1:12" ht="24" customHeight="1" x14ac:dyDescent="0.35">
      <c r="A46" s="93"/>
      <c r="B46" s="93"/>
      <c r="C46" s="93"/>
      <c r="D46" s="85"/>
      <c r="E46" s="85"/>
      <c r="F46" s="98"/>
      <c r="G46" s="85"/>
      <c r="H46" s="98"/>
      <c r="I46" s="85"/>
      <c r="J46" s="98"/>
      <c r="K46" s="85"/>
      <c r="L46" s="98"/>
    </row>
    <row r="47" spans="1:12" ht="24" customHeight="1" x14ac:dyDescent="0.35">
      <c r="J47" s="93"/>
      <c r="K47" s="93"/>
      <c r="L47" s="85"/>
    </row>
    <row r="48" spans="1:12" ht="24" customHeight="1" x14ac:dyDescent="0.35">
      <c r="K48" s="93"/>
      <c r="L48" s="85"/>
    </row>
    <row r="49" spans="11:12" ht="24" customHeight="1" x14ac:dyDescent="0.35">
      <c r="K49" s="93"/>
      <c r="L49" s="85"/>
    </row>
    <row r="50" spans="11:12" ht="24" customHeight="1" x14ac:dyDescent="0.35">
      <c r="K50" s="93"/>
      <c r="L50" s="85"/>
    </row>
    <row r="51" spans="11:12" ht="24" customHeight="1" x14ac:dyDescent="0.35">
      <c r="K51" s="93"/>
      <c r="L51" s="85"/>
    </row>
    <row r="52" spans="11:12" ht="24" customHeight="1" x14ac:dyDescent="0.35">
      <c r="K52" s="93"/>
      <c r="L52" s="85"/>
    </row>
    <row r="53" spans="11:12" ht="24" customHeight="1" x14ac:dyDescent="0.35">
      <c r="K53" s="93"/>
      <c r="L53" s="85"/>
    </row>
    <row r="54" spans="11:12" ht="24" customHeight="1" x14ac:dyDescent="0.35">
      <c r="K54" s="93"/>
      <c r="L54" s="85"/>
    </row>
    <row r="55" spans="11:12" ht="24" customHeight="1" x14ac:dyDescent="0.35">
      <c r="K55" s="93"/>
      <c r="L55" s="85"/>
    </row>
    <row r="56" spans="11:12" ht="24" customHeight="1" x14ac:dyDescent="0.35">
      <c r="K56" s="93"/>
      <c r="L56" s="85"/>
    </row>
  </sheetData>
  <mergeCells count="3">
    <mergeCell ref="A3:D3"/>
    <mergeCell ref="H3:K3"/>
    <mergeCell ref="E3:G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showGridLines="0" zoomScale="80" zoomScaleNormal="80" workbookViewId="0"/>
  </sheetViews>
  <sheetFormatPr defaultRowHeight="16" x14ac:dyDescent="0.4"/>
  <cols>
    <col min="1" max="1" width="14.6328125" style="159" customWidth="1"/>
    <col min="2" max="2" width="32.6328125" style="159" bestFit="1" customWidth="1"/>
    <col min="3" max="16384" width="8.7265625" style="159"/>
  </cols>
  <sheetData>
    <row r="1" spans="1:5" x14ac:dyDescent="0.4">
      <c r="A1" s="163" t="s">
        <v>89</v>
      </c>
      <c r="B1" s="163" t="s">
        <v>90</v>
      </c>
    </row>
    <row r="2" spans="1:5" x14ac:dyDescent="0.4">
      <c r="A2" s="163" t="s">
        <v>91</v>
      </c>
      <c r="B2" s="163" t="s">
        <v>92</v>
      </c>
    </row>
    <row r="3" spans="1:5" x14ac:dyDescent="0.4">
      <c r="A3" s="163" t="s">
        <v>93</v>
      </c>
      <c r="B3" s="163" t="s">
        <v>94</v>
      </c>
    </row>
    <row r="4" spans="1:5" x14ac:dyDescent="0.4">
      <c r="A4" s="163" t="s">
        <v>95</v>
      </c>
      <c r="B4" s="163" t="s">
        <v>101</v>
      </c>
    </row>
    <row r="5" spans="1:5" x14ac:dyDescent="0.4">
      <c r="A5" s="163" t="s">
        <v>96</v>
      </c>
      <c r="B5" s="163" t="s">
        <v>101</v>
      </c>
    </row>
    <row r="7" spans="1:5" x14ac:dyDescent="0.4">
      <c r="A7" s="160" t="s">
        <v>88</v>
      </c>
      <c r="B7" s="161"/>
      <c r="C7" s="161"/>
      <c r="D7" s="161"/>
      <c r="E7" s="161"/>
    </row>
    <row r="8" spans="1:5" x14ac:dyDescent="0.4">
      <c r="A8" s="160" t="s">
        <v>71</v>
      </c>
      <c r="B8" s="161"/>
      <c r="C8" s="161"/>
      <c r="D8" s="161"/>
      <c r="E8" s="161"/>
    </row>
    <row r="9" spans="1:5" x14ac:dyDescent="0.4">
      <c r="A9" s="5" t="s">
        <v>72</v>
      </c>
      <c r="B9" s="161"/>
      <c r="C9" s="161"/>
      <c r="D9" s="161"/>
      <c r="E9" s="161"/>
    </row>
    <row r="10" spans="1:5" x14ac:dyDescent="0.4">
      <c r="A10" s="5" t="s">
        <v>73</v>
      </c>
      <c r="B10" s="161"/>
      <c r="C10" s="161"/>
      <c r="D10" s="161"/>
      <c r="E10" s="161"/>
    </row>
    <row r="11" spans="1:5" x14ac:dyDescent="0.4">
      <c r="A11" s="5" t="s">
        <v>74</v>
      </c>
      <c r="B11" s="161"/>
      <c r="C11" s="161"/>
      <c r="D11" s="161"/>
      <c r="E11" s="161"/>
    </row>
    <row r="12" spans="1:5" x14ac:dyDescent="0.4">
      <c r="A12" s="5" t="s">
        <v>75</v>
      </c>
      <c r="B12" s="161"/>
      <c r="C12" s="161"/>
      <c r="D12" s="161"/>
      <c r="E12" s="161"/>
    </row>
    <row r="13" spans="1:5" x14ac:dyDescent="0.4">
      <c r="A13" s="5" t="s">
        <v>76</v>
      </c>
      <c r="B13" s="161"/>
      <c r="C13" s="161"/>
      <c r="D13" s="161"/>
      <c r="E13" s="161"/>
    </row>
    <row r="14" spans="1:5" x14ac:dyDescent="0.4">
      <c r="A14" s="5" t="s">
        <v>77</v>
      </c>
      <c r="B14" s="161"/>
      <c r="C14" s="161"/>
      <c r="D14" s="161"/>
      <c r="E14" s="161"/>
    </row>
    <row r="15" spans="1:5" x14ac:dyDescent="0.4">
      <c r="A15" s="5" t="s">
        <v>78</v>
      </c>
      <c r="B15" s="161"/>
      <c r="C15" s="161"/>
      <c r="D15" s="161"/>
      <c r="E15" s="161"/>
    </row>
    <row r="16" spans="1:5" x14ac:dyDescent="0.4">
      <c r="A16" s="5" t="s">
        <v>79</v>
      </c>
      <c r="B16" s="161"/>
      <c r="C16" s="161"/>
      <c r="D16" s="161"/>
      <c r="E16" s="161"/>
    </row>
    <row r="17" spans="1:5" x14ac:dyDescent="0.4">
      <c r="A17" s="5" t="s">
        <v>80</v>
      </c>
      <c r="B17" s="161"/>
      <c r="C17" s="161"/>
      <c r="D17" s="161"/>
      <c r="E17" s="161"/>
    </row>
    <row r="18" spans="1:5" x14ac:dyDescent="0.4">
      <c r="A18" s="5" t="s">
        <v>81</v>
      </c>
      <c r="B18" s="161"/>
      <c r="C18" s="161"/>
      <c r="D18" s="161"/>
      <c r="E18" s="161"/>
    </row>
    <row r="19" spans="1:5" x14ac:dyDescent="0.4">
      <c r="A19" s="5" t="s">
        <v>82</v>
      </c>
      <c r="B19" s="161"/>
      <c r="C19" s="161"/>
      <c r="D19" s="161"/>
      <c r="E19" s="161"/>
    </row>
    <row r="20" spans="1:5" x14ac:dyDescent="0.4">
      <c r="A20" s="5" t="s">
        <v>83</v>
      </c>
      <c r="B20" s="161"/>
      <c r="C20" s="161"/>
      <c r="D20" s="161"/>
      <c r="E20" s="161"/>
    </row>
    <row r="21" spans="1:5" x14ac:dyDescent="0.4">
      <c r="A21" s="5" t="s">
        <v>97</v>
      </c>
      <c r="B21" s="161"/>
      <c r="C21" s="161"/>
      <c r="D21" s="161"/>
      <c r="E21" s="161"/>
    </row>
    <row r="22" spans="1:5" x14ac:dyDescent="0.4">
      <c r="A22" s="5" t="s">
        <v>84</v>
      </c>
      <c r="B22" s="161"/>
      <c r="C22" s="161"/>
      <c r="D22" s="161"/>
      <c r="E22" s="161"/>
    </row>
    <row r="23" spans="1:5" x14ac:dyDescent="0.4">
      <c r="A23" s="5" t="s">
        <v>85</v>
      </c>
      <c r="B23" s="161"/>
      <c r="C23" s="161"/>
      <c r="D23" s="161"/>
      <c r="E23" s="161"/>
    </row>
    <row r="24" spans="1:5" x14ac:dyDescent="0.4">
      <c r="A24" s="5" t="s">
        <v>86</v>
      </c>
      <c r="B24" s="161"/>
      <c r="C24" s="161"/>
      <c r="D24" s="161"/>
      <c r="E24" s="161"/>
    </row>
    <row r="25" spans="1:5" x14ac:dyDescent="0.4">
      <c r="A25" s="162" t="s">
        <v>87</v>
      </c>
      <c r="B25" s="161"/>
      <c r="C25" s="161"/>
      <c r="D25" s="161"/>
      <c r="E25" s="161"/>
    </row>
  </sheetData>
  <sheetProtection algorithmName="SHA-512" hashValue="WRT3wKBiU6hdvSZ/gaDHPTByGlAYg8TXY07NWJcAxssXVlXWSjqzojOpQpFr7biuh7XFZg/spEmsknQ3Y1YG7g==" saltValue="Yx8+G7LxPwtNDecKW2dW2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ZMOutlook</vt:lpwstr>
  </property>
  <property fmtid="{D5CDD505-2E9C-101B-9397-08002B2CF9AE}" pid="3" name="SizeBefore">
    <vt:lpwstr>36063</vt:lpwstr>
  </property>
  <property fmtid="{D5CDD505-2E9C-101B-9397-08002B2CF9AE}" pid="4" name="OptimizationTime">
    <vt:lpwstr>20180717_1132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Model</vt:lpstr>
      <vt:lpstr>Underlying</vt:lpstr>
      <vt:lpstr>Disclaimer</vt:lpstr>
      <vt:lpstr>full_nodes</vt:lpstr>
    </vt:vector>
  </TitlesOfParts>
  <Company>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 Frechette</dc:creator>
  <cp:lastModifiedBy>John T Frechette</cp:lastModifiedBy>
  <dcterms:created xsi:type="dcterms:W3CDTF">2017-10-31T03:31:32Z</dcterms:created>
  <dcterms:modified xsi:type="dcterms:W3CDTF">2018-07-17T15:27:51Z</dcterms:modified>
</cp:coreProperties>
</file>