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isting product" sheetId="1" r:id="rId4"/>
    <sheet state="visible" name="Family" sheetId="2" r:id="rId5"/>
    <sheet state="visible" name="Upper class" sheetId="3" r:id="rId6"/>
  </sheets>
  <definedNames/>
  <calcPr/>
  <extLst>
    <ext uri="GoogleSheetsCustomDataVersion1">
      <go:sheetsCustomData xmlns:go="http://customooxmlschemas.google.com/" r:id="rId7" roundtripDataSignature="AMtx7mhJgMVsEQMihwFZHQUYCO7SB4OhoA=="/>
    </ext>
  </extLst>
</workbook>
</file>

<file path=xl/comments1.xml><?xml version="1.0" encoding="utf-8"?>
<comments xmlns:r="http://schemas.openxmlformats.org/officeDocument/2006/relationships" xmlns="http://schemas.openxmlformats.org/spreadsheetml/2006/main">
  <authors>
    <author/>
  </authors>
  <commentList>
    <comment authorId="0" ref="Q16">
      <text>
        <t xml:space="preserve">======
ID#AAAASJbQ5QQ
David Hermez    (2021-12-20 21:17:30)
we didnt write it because its multiplied by zero and the result is zero</t>
      </text>
    </comment>
    <comment authorId="0" ref="B27">
      <text>
        <t xml:space="preserve">======
ID#AAAATRIDpVU
Serena S    (2021-12-20 10:14:47)
Similar to stamping</t>
      </text>
    </comment>
    <comment authorId="0" ref="D17">
      <text>
        <t xml:space="preserve">======
ID#AAAATRIDpVQ
Serena S    (2021-12-20 10:14:33)
Andreas</t>
      </text>
    </comment>
    <comment authorId="0" ref="B28">
      <text>
        <t xml:space="preserve">======
ID#AAAATE3euzI
Serena S    (2021-12-13 16:39:00)
Took same as stamping...</t>
      </text>
    </comment>
    <comment authorId="0" ref="B23">
      <text>
        <t xml:space="preserve">======
ID#AAAATE3euy8
Serena S    (2021-12-13 16:30:48)
Taken as Stamping for ELU</t>
      </text>
    </comment>
    <comment authorId="0" ref="B26">
      <text>
        <t xml:space="preserve">======
ID#AAAATE3euy4
Serena S    (2021-12-13 16:30:29)
Taken as Injection molding for ELU</t>
      </text>
    </comment>
    <comment authorId="0" ref="B25">
      <text>
        <t xml:space="preserve">======
ID#AAAATE3euy0
Serena S    (2021-12-13 16:30:23)
Taken as Injection molding for ELU</t>
      </text>
    </comment>
    <comment authorId="0" ref="B24">
      <text>
        <t xml:space="preserve">======
ID#AAAATE3euyw
Serena S    (2021-12-13 16:30:18)
Taken as Injection molding for ELU</t>
      </text>
    </comment>
    <comment authorId="0" ref="B12">
      <text>
        <t xml:space="preserve">======
ID#AAAATE3euyo
Serena S    (2021-12-13 16:28:14)
Because processes are wire bending and metal punching</t>
      </text>
    </comment>
    <comment authorId="0" ref="B14">
      <text>
        <t xml:space="preserve">======
ID#AAAATE3euyk
Serena S    (2021-12-13 16:25:22)
PET</t>
      </text>
    </comment>
    <comment authorId="0" ref="B8">
      <text>
        <t xml:space="preserve">======
ID#AAAATE3euyc
Serena S    (2021-12-13 16:20:55)
Sheet for the metal punching part</t>
      </text>
    </comment>
  </commentList>
  <extLst>
    <ext uri="GoogleSheetsCustomDataVersion1">
      <go:sheetsCustomData xmlns:go="http://customooxmlschemas.google.com/" r:id="rId1" roundtripDataSignature="AMtx7miHDy7Bpt2I6dYEQSbdhrzRifVbKA=="/>
    </ext>
  </extLst>
</comments>
</file>

<file path=xl/sharedStrings.xml><?xml version="1.0" encoding="utf-8"?>
<sst xmlns="http://schemas.openxmlformats.org/spreadsheetml/2006/main" count="263" uniqueCount="73">
  <si>
    <t>Material &amp; Processes</t>
  </si>
  <si>
    <t>Pre-Use</t>
  </si>
  <si>
    <t>Use</t>
  </si>
  <si>
    <t>Post-use</t>
  </si>
  <si>
    <t>Sum</t>
  </si>
  <si>
    <t>Production</t>
  </si>
  <si>
    <t>Life</t>
  </si>
  <si>
    <t>Reuse - Component</t>
  </si>
  <si>
    <t>Reuse - Material</t>
  </si>
  <si>
    <t>Combustion (energy recovery)</t>
  </si>
  <si>
    <t>Incineration (no energy recovery)</t>
  </si>
  <si>
    <t>Landfill</t>
  </si>
  <si>
    <t>Other</t>
  </si>
  <si>
    <t>Units</t>
  </si>
  <si>
    <t>Spec. env. ind. [ELU/Unit]</t>
  </si>
  <si>
    <t>Amount [Unit]</t>
  </si>
  <si>
    <t>Index [ELU]</t>
  </si>
  <si>
    <t>Materials</t>
  </si>
  <si>
    <t>PP</t>
  </si>
  <si>
    <t>kg</t>
  </si>
  <si>
    <t>Cast: Aluminium</t>
  </si>
  <si>
    <t xml:space="preserve">Sheet: Low-alloy steel, high </t>
  </si>
  <si>
    <t>Silicon rubber</t>
  </si>
  <si>
    <t>Ceramic</t>
  </si>
  <si>
    <t>PVC</t>
  </si>
  <si>
    <t>PBT</t>
  </si>
  <si>
    <t>Processes</t>
  </si>
  <si>
    <t>Injection molding</t>
  </si>
  <si>
    <t>Stamping</t>
  </si>
  <si>
    <t>Life, use</t>
  </si>
  <si>
    <t>Water</t>
  </si>
  <si>
    <t>Coffee</t>
  </si>
  <si>
    <t>Electricity</t>
  </si>
  <si>
    <t>kWh</t>
  </si>
  <si>
    <t>Lorry</t>
  </si>
  <si>
    <t>tonkm</t>
  </si>
  <si>
    <t>Average car</t>
  </si>
  <si>
    <t>km</t>
  </si>
  <si>
    <t>SUM</t>
  </si>
  <si>
    <r>
      <rPr>
        <rFont val="Calibri"/>
        <b/>
        <color theme="1"/>
        <sz val="11.0"/>
      </rPr>
      <t>Materials</t>
    </r>
    <r>
      <rPr>
        <rFont val="Calibri"/>
        <color theme="1"/>
        <sz val="11.0"/>
      </rPr>
      <t xml:space="preserve">:
Materials listed were identified during corresponding labs. Their corresponding weights as well.
***
</t>
    </r>
    <r>
      <rPr>
        <rFont val="Calibri"/>
        <b/>
        <color theme="1"/>
        <sz val="11.0"/>
      </rPr>
      <t>Processes</t>
    </r>
    <r>
      <rPr>
        <rFont val="Calibri"/>
        <color theme="1"/>
        <sz val="11.0"/>
      </rPr>
      <t xml:space="preserve">:
Assumptions were made regarding the processes used. For instance, it was assumed that all metal type off materials were to undergo "Stamping". Similarly, it was assumed that materials of "Plastic" type were subjected to "Injection molding". It is further justified by the fact that processes play a less important role in the estimation in comparison to materials.
***
</t>
    </r>
    <r>
      <rPr>
        <rFont val="Calibri"/>
        <b/>
        <color theme="1"/>
        <sz val="11.0"/>
      </rPr>
      <t>Life, Use</t>
    </r>
    <r>
      <rPr>
        <rFont val="Calibri"/>
        <color theme="1"/>
        <sz val="11.0"/>
      </rPr>
      <t>:
Transportation needed to forage and transport the materials to the factory were disregarded, it was considered outside the life cycle.</t>
    </r>
  </si>
  <si>
    <r>
      <rPr>
        <rFont val="Calibri"/>
        <b/>
        <color theme="1"/>
        <sz val="11.0"/>
      </rPr>
      <t>Life, Use:</t>
    </r>
    <r>
      <rPr>
        <rFont val="Calibri"/>
        <color theme="1"/>
        <sz val="11.0"/>
      </rPr>
      <t xml:space="preserve"> the life of the coffee machine should be of about 10 years. To quantify the values, the following assumptions were made.
</t>
    </r>
    <r>
      <rPr>
        <rFont val="Calibri"/>
        <i/>
        <color theme="1"/>
        <sz val="11.0"/>
      </rPr>
      <t xml:space="preserve">Water:
</t>
    </r>
    <r>
      <rPr>
        <rFont val="Calibri"/>
        <color theme="1"/>
        <sz val="11.0"/>
      </rPr>
      <t>It was considered that one cup required about 1dL, which weighs 0.1kg. If the machine is used to brew 2 cups a day, at the end of the machines's life, 2*0.1*365*10 = 730 kg of water have been consumed. The water used to clean is not accounted for here.</t>
    </r>
    <r>
      <rPr>
        <rFont val="Calibri"/>
        <i/>
        <color theme="1"/>
        <sz val="11.0"/>
      </rPr>
      <t xml:space="preserve">
Coffee:
</t>
    </r>
    <r>
      <rPr>
        <rFont val="Calibri"/>
        <color theme="1"/>
        <sz val="11.0"/>
      </rPr>
      <t>It was considered that one cup required about 10 grams. If the machine is used to brew 2 cups a day, at the end of the machines's life, 2*10*365*10/1000 = 73kg of coffee have been consumed.</t>
    </r>
    <r>
      <rPr>
        <rFont val="Calibri"/>
        <i/>
        <color theme="1"/>
        <sz val="11.0"/>
      </rPr>
      <t xml:space="preserve">
Electricity: 
</t>
    </r>
    <r>
      <rPr>
        <rFont val="Calibri"/>
        <color theme="1"/>
        <sz val="11.0"/>
      </rPr>
      <t>The power rating is about 1000W. Considering the machine is used each day for 2min, in 10 years that makes an energy consumption of about 120 Wh</t>
    </r>
    <r>
      <rPr>
        <rFont val="Calibri"/>
        <i/>
        <color theme="1"/>
        <sz val="11.0"/>
      </rPr>
      <t xml:space="preserve">
Average car:
</t>
    </r>
    <r>
      <rPr>
        <rFont val="Calibri"/>
        <color theme="1"/>
        <sz val="11.0"/>
      </rPr>
      <t>This accounts for the most probable way the buyer will go to obtain the machine: with a car, at a retailer store. It was considered that the distance would be 4km.</t>
    </r>
  </si>
  <si>
    <t>The existing components will never be reused as such. Considering 10 years as the life span of the machine, this latter will not undergo a controlled disassembly, thus no component, even if syill functionning, will be reused in future products</t>
  </si>
  <si>
    <r>
      <rPr>
        <rFont val="Calibri"/>
        <b/>
        <color theme="1"/>
        <sz val="11.0"/>
      </rPr>
      <t>PP:</t>
    </r>
    <r>
      <rPr>
        <rFont val="Calibri"/>
        <color theme="1"/>
        <sz val="11.0"/>
      </rPr>
      <t xml:space="preserve"> 
</t>
    </r>
    <r>
      <rPr>
        <rFont val="Calibri"/>
        <i/>
        <color theme="1"/>
        <sz val="11.0"/>
      </rPr>
      <t xml:space="preserve">*Reuse - Material    </t>
    </r>
    <r>
      <rPr>
        <rFont val="Calibri"/>
        <color theme="1"/>
        <sz val="11.0"/>
      </rPr>
      <t xml:space="preserve">    
Some parts are easily removable (coffee grind container, caps for instance), so it's very likely those parts will be recycled. Once sorted out, they can thus be reused to fabricate other components. It was estimated it reprensented around 20% of the total weight.
</t>
    </r>
    <r>
      <rPr>
        <rFont val="Calibri"/>
        <i/>
        <color theme="1"/>
        <sz val="11.0"/>
      </rPr>
      <t xml:space="preserve">*Combustion (energy recovery)
</t>
    </r>
    <r>
      <rPr>
        <rFont val="Calibri"/>
        <color theme="1"/>
        <sz val="11.0"/>
      </rPr>
      <t xml:space="preserve">Since the disassembly of the machine will not be under control, the rest of PP will probably be thrown away: it is note expected for a regular user to disassemble each part. It is assumed 50% of it will be burnt, but the energy created will be reused in the form of heating (common in Sweden)
</t>
    </r>
    <r>
      <rPr>
        <rFont val="Calibri"/>
        <i/>
        <color theme="1"/>
        <sz val="11.0"/>
      </rPr>
      <t xml:space="preserve">*Incineration (no energy recovery)
</t>
    </r>
    <r>
      <rPr>
        <rFont val="Calibri"/>
        <color theme="1"/>
        <sz val="11.0"/>
      </rPr>
      <t xml:space="preserve">To account for the amount burnt without reuse of the energy, it is assumed 10% of it will undergo this scenario.
</t>
    </r>
    <r>
      <rPr>
        <rFont val="Calibri"/>
        <i/>
        <color theme="1"/>
        <sz val="11.0"/>
      </rPr>
      <t xml:space="preserve">*Landfill:
</t>
    </r>
    <r>
      <rPr>
        <rFont val="Calibri"/>
        <color theme="1"/>
        <sz val="11.0"/>
      </rPr>
      <t xml:space="preserve">As for the rest of the time (20%) it is possible that pieces are thrown away for landfill. 
</t>
    </r>
    <r>
      <rPr>
        <rFont val="Calibri"/>
        <b/>
        <color theme="1"/>
        <sz val="11.0"/>
      </rPr>
      <t xml:space="preserve">Cast: Aluminium
</t>
    </r>
    <r>
      <rPr>
        <rFont val="Calibri"/>
        <i/>
        <color theme="1"/>
        <sz val="11.0"/>
      </rPr>
      <t xml:space="preserve">*Reuse - Material        </t>
    </r>
    <r>
      <rPr>
        <rFont val="Calibri"/>
        <color theme="1"/>
        <sz val="11.0"/>
      </rPr>
      <t xml:space="preserve">
Aluminium is very valuable to recycle. Chances are that a high proportion of it will be sorted out, hence 40% of it will undergo this scenario. It cannot be higher, because aluminium is mostly present in the heating element and this piece is located inside: it cannot be guaranteed that most users will dismantle it.
</t>
    </r>
    <r>
      <rPr>
        <rFont val="Calibri"/>
        <i/>
        <color theme="1"/>
        <sz val="11.0"/>
      </rPr>
      <t>*Combustion (energy recovery)</t>
    </r>
    <r>
      <rPr>
        <rFont val="Calibri"/>
        <color theme="1"/>
        <sz val="11.0"/>
      </rPr>
      <t xml:space="preserve">
Metals, like aluminium, are not likely to be burnt for energy recovery. Hence 0%.
</t>
    </r>
    <r>
      <rPr>
        <rFont val="Calibri"/>
        <i/>
        <color theme="1"/>
        <sz val="11.0"/>
      </rPr>
      <t xml:space="preserve">*Incineration (no energy recovery)
</t>
    </r>
    <r>
      <rPr>
        <rFont val="Calibri"/>
        <color theme="1"/>
        <sz val="11.0"/>
      </rPr>
      <t xml:space="preserve">Most users will probably throw away the machine without consideration of components inside. That's why most Aluminium, 55%, is assumed to be burnt in an inceneration process.
</t>
    </r>
    <r>
      <rPr>
        <rFont val="Calibri"/>
        <i/>
        <color theme="1"/>
        <sz val="11.0"/>
      </rPr>
      <t>*Landfill</t>
    </r>
    <r>
      <rPr>
        <rFont val="Calibri"/>
        <color theme="1"/>
        <sz val="11.0"/>
      </rPr>
      <t xml:space="preserve">:
As for the rest of the time (5%) it is possible that the component like the heating component, ends up as landfill.
</t>
    </r>
    <r>
      <rPr>
        <rFont val="Calibri"/>
        <b/>
        <color theme="1"/>
        <sz val="11.0"/>
      </rPr>
      <t xml:space="preserve">Sheet: Low-alloy steel, high
</t>
    </r>
    <r>
      <rPr>
        <rFont val="Calibri"/>
        <color theme="1"/>
        <sz val="11.0"/>
      </rPr>
      <t>We assumed low-alloy steel to have the same behavior than aluminium. Hence the proportions:</t>
    </r>
    <r>
      <rPr>
        <rFont val="Calibri"/>
        <b/>
        <color theme="1"/>
        <sz val="11.0"/>
      </rPr>
      <t xml:space="preserve">
</t>
    </r>
    <r>
      <rPr>
        <rFont val="Calibri"/>
        <color theme="1"/>
        <sz val="11.0"/>
      </rPr>
      <t>*</t>
    </r>
    <r>
      <rPr>
        <rFont val="Calibri"/>
        <i/>
        <color theme="1"/>
        <sz val="11.0"/>
      </rPr>
      <t xml:space="preserve">Reuse - Material: </t>
    </r>
    <r>
      <rPr>
        <rFont val="Calibri"/>
        <color theme="1"/>
        <sz val="11.0"/>
      </rPr>
      <t>40%</t>
    </r>
    <r>
      <rPr>
        <rFont val="Calibri"/>
        <i/>
        <color theme="1"/>
        <sz val="11.0"/>
      </rPr>
      <t xml:space="preserve">
*Combustion (energy recovery): </t>
    </r>
    <r>
      <rPr>
        <rFont val="Calibri"/>
        <color theme="1"/>
        <sz val="11.0"/>
      </rPr>
      <t>0%</t>
    </r>
    <r>
      <rPr>
        <rFont val="Calibri"/>
        <i/>
        <color theme="1"/>
        <sz val="11.0"/>
      </rPr>
      <t xml:space="preserve">
*Incineration (no energy recovery): </t>
    </r>
    <r>
      <rPr>
        <rFont val="Calibri"/>
        <color theme="1"/>
        <sz val="11.0"/>
      </rPr>
      <t>55%</t>
    </r>
    <r>
      <rPr>
        <rFont val="Calibri"/>
        <i/>
        <color theme="1"/>
        <sz val="11.0"/>
      </rPr>
      <t xml:space="preserve">
*Landfill: </t>
    </r>
    <r>
      <rPr>
        <rFont val="Calibri"/>
        <color theme="1"/>
        <sz val="11.0"/>
      </rPr>
      <t>5%</t>
    </r>
    <r>
      <rPr>
        <rFont val="Calibri"/>
        <i/>
        <color theme="1"/>
        <sz val="11.0"/>
      </rPr>
      <t xml:space="preserve">
</t>
    </r>
    <r>
      <rPr>
        <rFont val="Calibri"/>
        <b/>
        <color theme="1"/>
        <sz val="11.0"/>
      </rPr>
      <t xml:space="preserve">Silicon rubber
</t>
    </r>
    <r>
      <rPr>
        <rFont val="Calibri"/>
        <i/>
        <color theme="1"/>
        <sz val="11.0"/>
      </rPr>
      <t xml:space="preserve">*Incineration (no energy recovery)
</t>
    </r>
    <r>
      <rPr>
        <rFont val="Calibri"/>
        <color theme="1"/>
        <sz val="11.0"/>
      </rPr>
      <t xml:space="preserve">Given the size of the component, it will most than likely end up being used in this scenario. Hence 100%
</t>
    </r>
    <r>
      <rPr>
        <rFont val="Calibri"/>
        <b/>
        <color theme="1"/>
        <sz val="11.0"/>
      </rPr>
      <t xml:space="preserve">Ceramic
</t>
    </r>
    <r>
      <rPr>
        <rFont val="Calibri"/>
        <color theme="1"/>
        <sz val="11.0"/>
      </rPr>
      <t xml:space="preserve">We assumed Ceramic to have the same behavior than Silicon rubber (given the size of the components and their placement). Hence the proportions:
</t>
    </r>
    <r>
      <rPr>
        <rFont val="Calibri"/>
        <i/>
        <color theme="1"/>
        <sz val="11.0"/>
      </rPr>
      <t>*Incineration (no energy recovery)</t>
    </r>
    <r>
      <rPr>
        <rFont val="Calibri"/>
        <color theme="1"/>
        <sz val="11.0"/>
      </rPr>
      <t xml:space="preserve">
Given the size of the component, it will most than likely end up being used in this scenario. Hence 100%
</t>
    </r>
    <r>
      <rPr>
        <rFont val="Calibri"/>
        <b/>
        <color theme="1"/>
        <sz val="11.0"/>
      </rPr>
      <t xml:space="preserve">PVC
</t>
    </r>
    <r>
      <rPr>
        <rFont val="Calibri"/>
        <i/>
        <color theme="1"/>
        <sz val="11.0"/>
      </rPr>
      <t>*Reuse - Material:</t>
    </r>
    <r>
      <rPr>
        <rFont val="Calibri"/>
        <color theme="1"/>
        <sz val="11.0"/>
      </rPr>
      <t xml:space="preserve"> 75% of it will be reused (material), because PVC is easily recycled.
</t>
    </r>
    <r>
      <rPr>
        <rFont val="Calibri"/>
        <i/>
        <color theme="1"/>
        <sz val="11.0"/>
      </rPr>
      <t>*Combustion (energy recovery):</t>
    </r>
    <r>
      <rPr>
        <rFont val="Calibri"/>
        <color theme="1"/>
        <sz val="11.0"/>
      </rPr>
      <t xml:space="preserve"> 10% some non-sorted-out components will be burnt in combustion (for heating, in Sweden)
</t>
    </r>
    <r>
      <rPr>
        <rFont val="Calibri"/>
        <i/>
        <color theme="1"/>
        <sz val="11.0"/>
      </rPr>
      <t>*Incineration (no energy recovery):</t>
    </r>
    <r>
      <rPr>
        <rFont val="Calibri"/>
        <color theme="1"/>
        <sz val="11.0"/>
      </rPr>
      <t xml:space="preserve"> 0% 
</t>
    </r>
    <r>
      <rPr>
        <rFont val="Calibri"/>
        <i/>
        <color theme="1"/>
        <sz val="11.0"/>
      </rPr>
      <t xml:space="preserve">*Landfill: </t>
    </r>
    <r>
      <rPr>
        <rFont val="Calibri"/>
        <color theme="1"/>
        <sz val="11.0"/>
      </rPr>
      <t xml:space="preserve">15% of it will end up in landfill, along with the non sorted out components
</t>
    </r>
    <r>
      <rPr>
        <rFont val="Calibri"/>
        <b/>
        <color theme="1"/>
        <sz val="11.0"/>
      </rPr>
      <t xml:space="preserve">PBT
</t>
    </r>
    <r>
      <rPr>
        <rFont val="Calibri"/>
        <i/>
        <color theme="1"/>
        <sz val="11.0"/>
      </rPr>
      <t>*Reuse - Material:</t>
    </r>
    <r>
      <rPr>
        <rFont val="Calibri"/>
        <color theme="1"/>
        <sz val="11.0"/>
      </rPr>
      <t xml:space="preserve"> 0% of it will be reused (material), because unlike PVC, PBT is hardly recycled.
</t>
    </r>
    <r>
      <rPr>
        <rFont val="Calibri"/>
        <i/>
        <color theme="1"/>
        <sz val="11.0"/>
      </rPr>
      <t>*Incineration (no energy recovery):</t>
    </r>
    <r>
      <rPr>
        <rFont val="Calibri"/>
        <color theme="1"/>
        <sz val="11.0"/>
      </rPr>
      <t xml:space="preserve"> 100% (that is, the feet of the coffee machine) will most likely staying attached to the casing, and thrown away with the casing. Without distinction, it will then end up being burnt in incineration without energy recovery.</t>
    </r>
  </si>
  <si>
    <t>LCA - New Product - Family segment</t>
  </si>
  <si>
    <t>POM</t>
  </si>
  <si>
    <t>PET</t>
  </si>
  <si>
    <t>Aluminium</t>
  </si>
  <si>
    <t>Mica</t>
  </si>
  <si>
    <t>Glass</t>
  </si>
  <si>
    <t>Extrusion:Flexible PVC</t>
  </si>
  <si>
    <t>Stainless steel</t>
  </si>
  <si>
    <t>Paper</t>
  </si>
  <si>
    <t>Metal punching/stamping</t>
  </si>
  <si>
    <t>Wire bending</t>
  </si>
  <si>
    <t>Casting</t>
  </si>
  <si>
    <t>Blow molding</t>
  </si>
  <si>
    <t>Extrusion</t>
  </si>
  <si>
    <t>Filter</t>
  </si>
  <si>
    <r>
      <rPr>
        <rFont val="Calibri"/>
        <b/>
        <color theme="1"/>
        <sz val="11.0"/>
      </rPr>
      <t>Materials</t>
    </r>
    <r>
      <rPr>
        <rFont val="Calibri"/>
        <color theme="1"/>
        <sz val="11.0"/>
      </rPr>
      <t xml:space="preserve">:
Materials listed were identified during corresponding labs. Their corresponding weights as well.
***
</t>
    </r>
    <r>
      <rPr>
        <rFont val="Calibri"/>
        <b/>
        <color theme="1"/>
        <sz val="11.0"/>
      </rPr>
      <t>Processes</t>
    </r>
    <r>
      <rPr>
        <rFont val="Calibri"/>
        <color theme="1"/>
        <sz val="11.0"/>
      </rPr>
      <t xml:space="preserve">:
Assumptions were made regarding the processes used. For instance, it was assumed that all metal type off materials were to undergo "Stamping". Similarly, it was assumed that materials of "Plastic" type were subjected to "Injection molding". It is further justified by the fact that processes play a less important role in the estimation in comparison to materials.
***
</t>
    </r>
    <r>
      <rPr>
        <rFont val="Calibri"/>
        <b/>
        <color theme="1"/>
        <sz val="11.0"/>
      </rPr>
      <t>Life, Use</t>
    </r>
    <r>
      <rPr>
        <rFont val="Calibri"/>
        <color theme="1"/>
        <sz val="11.0"/>
      </rPr>
      <t>:
Transportation needed to forage and transport the materials to the factory were disregarded, it was considered outside the life cycle.</t>
    </r>
  </si>
  <si>
    <t>End of life distribution for Aluminium</t>
  </si>
  <si>
    <t>The total weight of aluminum (cast) present in the machine is 0,59051 kg. It accounts for 3 elements:
Case Bar, Wall Bar and Heating Element.
What is the proportion likely to be recycled? The organ comprising the “Wall bar” as well as the “Case bar” will likely always be sorted out to enter recycling since it’s so visible. It represents around 83% of the Aluminum (cast) weight. Sometimes, some elements may get recycled as well, hence the proportion of recycled Aluminum components is rounded to 80%.</t>
  </si>
  <si>
    <t>LCA - New Product - Upper class segment</t>
  </si>
  <si>
    <t>Aluminium (cast)</t>
  </si>
  <si>
    <t>Aluminium (sheet)</t>
  </si>
  <si>
    <t>Epoxy (PU)</t>
  </si>
  <si>
    <t>Steel sheet metal</t>
  </si>
  <si>
    <t>Polyethylene</t>
  </si>
  <si>
    <t>Mica (ceramics)</t>
  </si>
  <si>
    <t>Ebony</t>
  </si>
  <si>
    <t>Milling</t>
  </si>
  <si>
    <t>Deep drawing</t>
  </si>
  <si>
    <t>Filter (Paper)</t>
  </si>
  <si>
    <r>
      <rPr>
        <rFont val="Calibri"/>
        <b/>
        <color theme="1"/>
        <sz val="11.0"/>
      </rPr>
      <t>Materials</t>
    </r>
    <r>
      <rPr>
        <rFont val="Calibri"/>
        <color theme="1"/>
        <sz val="11.0"/>
      </rPr>
      <t xml:space="preserve">:
Materials listed were identified during corresponding labs. Their corresponding weights as well.
***
</t>
    </r>
    <r>
      <rPr>
        <rFont val="Calibri"/>
        <b/>
        <color theme="1"/>
        <sz val="11.0"/>
      </rPr>
      <t>Processes</t>
    </r>
    <r>
      <rPr>
        <rFont val="Calibri"/>
        <color theme="1"/>
        <sz val="11.0"/>
      </rPr>
      <t xml:space="preserve">:
Assumptions were made regarding the processes used. For instance, it was assumed that all metal type off materials were to undergo "Stamping". Similarly, it was assumed that materials of "Plastic" type were subjected to "Injection molding". It is further justified by the fact that processes play a less important role in the estimation in comparison to materials.
***
</t>
    </r>
    <r>
      <rPr>
        <rFont val="Calibri"/>
        <b/>
        <color theme="1"/>
        <sz val="11.0"/>
      </rPr>
      <t>Life, Use</t>
    </r>
    <r>
      <rPr>
        <rFont val="Calibri"/>
        <color theme="1"/>
        <sz val="11.0"/>
      </rPr>
      <t>:
Transportation needed to forage and transport the materials to the factory were disregarded, it was considered outside the life cycle.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</si>
</sst>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9">
    <font>
      <sz val="11.0"/>
      <color theme="1"/>
      <name val="Arial"/>
    </font>
    <font>
      <sz val="11.0"/>
      <color theme="0"/>
      <name val="Calibri"/>
    </font>
    <font>
      <sz val="11.0"/>
      <color theme="1"/>
      <name val="Calibri"/>
    </font>
    <font/>
    <font>
      <sz val="11.0"/>
      <color rgb="FFFFFFFF"/>
      <name val="Calibri"/>
    </font>
    <font>
      <b/>
      <sz val="11.0"/>
      <color theme="1"/>
      <name val="Calibri"/>
    </font>
    <font>
      <sz val="8.0"/>
      <color rgb="FF000000"/>
      <name val="Calibri"/>
    </font>
    <font>
      <sz val="11.0"/>
      <color rgb="FF000000"/>
      <name val="Calibri"/>
    </font>
    <font>
      <sz val="9.0"/>
      <color theme="1"/>
      <name val="Calibri"/>
    </font>
  </fonts>
  <fills count="15">
    <fill>
      <patternFill patternType="none"/>
    </fill>
    <fill>
      <patternFill patternType="lightGray"/>
    </fill>
    <fill>
      <patternFill patternType="solid">
        <fgColor rgb="FF8E7CC3"/>
        <bgColor rgb="FF8E7CC3"/>
      </patternFill>
    </fill>
    <fill>
      <patternFill patternType="solid">
        <fgColor rgb="FFD9D9D9"/>
        <bgColor rgb="FFD9D9D9"/>
      </patternFill>
    </fill>
    <fill>
      <patternFill patternType="solid">
        <fgColor rgb="FF6FA8DC"/>
        <bgColor rgb="FF6FA8DC"/>
      </patternFill>
    </fill>
    <fill>
      <patternFill patternType="solid">
        <fgColor rgb="FF508D5F"/>
        <bgColor rgb="FF508D5F"/>
      </patternFill>
    </fill>
    <fill>
      <patternFill patternType="solid">
        <fgColor rgb="FFF1C232"/>
        <bgColor rgb="FFF1C232"/>
      </patternFill>
    </fill>
    <fill>
      <patternFill patternType="solid">
        <fgColor rgb="FFE06666"/>
        <bgColor rgb="FFE06666"/>
      </patternFill>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theme="0"/>
        <bgColor theme="0"/>
      </patternFill>
    </fill>
    <fill>
      <patternFill patternType="solid">
        <fgColor rgb="FFDADADA"/>
        <bgColor rgb="FFDADADA"/>
      </patternFill>
    </fill>
    <fill>
      <patternFill patternType="solid">
        <fgColor rgb="FFEA9999"/>
        <bgColor rgb="FFEA9999"/>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
      <left style="thin">
        <color rgb="FF000000"/>
      </left>
    </border>
    <border>
      <right style="thin">
        <color rgb="FF000000"/>
      </right>
    </border>
    <border>
      <right style="thin">
        <color rgb="FF000000"/>
      </right>
      <bottom style="thin">
        <color rgb="FF000000"/>
      </bottom>
    </border>
    <border>
      <left style="thin">
        <color rgb="FF000000"/>
      </left>
      <right/>
      <top/>
      <bottom/>
    </border>
    <border>
      <left style="thick">
        <color rgb="FF5B9BD5"/>
      </left>
      <top style="thick">
        <color rgb="FF5B9BD5"/>
      </top>
    </border>
    <border>
      <top style="thick">
        <color rgb="FF5B9BD5"/>
      </top>
    </border>
    <border>
      <right style="thick">
        <color rgb="FF5B9BD5"/>
      </right>
      <top style="thick">
        <color rgb="FF5B9BD5"/>
      </top>
    </border>
    <border>
      <left style="thick">
        <color rgb="FF508D5F"/>
      </left>
      <top style="thick">
        <color rgb="FF508D5F"/>
      </top>
    </border>
    <border>
      <top style="thick">
        <color rgb="FF508D5F"/>
      </top>
    </border>
    <border>
      <right style="thick">
        <color rgb="FF508D5F"/>
      </right>
      <top style="thick">
        <color rgb="FF508D5F"/>
      </top>
    </border>
    <border>
      <left style="thick">
        <color rgb="FFFFC000"/>
      </left>
      <top style="thick">
        <color rgb="FFFFC000"/>
      </top>
    </border>
    <border>
      <top style="thick">
        <color rgb="FFFFC000"/>
      </top>
    </border>
    <border>
      <right style="thick">
        <color rgb="FFFFC000"/>
      </right>
      <top style="thick">
        <color rgb="FFFFC000"/>
      </top>
    </border>
    <border>
      <left style="thick">
        <color rgb="FF5B9BD5"/>
      </left>
    </border>
    <border>
      <right style="thick">
        <color rgb="FF5B9BD5"/>
      </right>
    </border>
    <border>
      <left style="thick">
        <color rgb="FF508D5F"/>
      </left>
    </border>
    <border>
      <right style="thick">
        <color rgb="FF508D5F"/>
      </right>
    </border>
    <border>
      <left style="thick">
        <color rgb="FFFFC000"/>
      </left>
    </border>
    <border>
      <right style="thick">
        <color rgb="FFFFC000"/>
      </right>
    </border>
    <border>
      <left style="thick">
        <color rgb="FFFFC000"/>
      </left>
      <bottom style="thick">
        <color rgb="FFFFC000"/>
      </bottom>
    </border>
    <border>
      <bottom style="thick">
        <color rgb="FFFFC000"/>
      </bottom>
    </border>
    <border>
      <right style="thick">
        <color rgb="FFFFC000"/>
      </right>
      <bottom style="thick">
        <color rgb="FFFFC000"/>
      </bottom>
    </border>
    <border>
      <left style="thick">
        <color rgb="FF5B9BD5"/>
      </left>
      <bottom style="thick">
        <color rgb="FF5B9BD5"/>
      </bottom>
    </border>
    <border>
      <bottom style="thick">
        <color rgb="FF5B9BD5"/>
      </bottom>
    </border>
    <border>
      <right style="thick">
        <color rgb="FF5B9BD5"/>
      </right>
      <bottom style="thick">
        <color rgb="FF5B9BD5"/>
      </bottom>
    </border>
    <border>
      <left style="thick">
        <color rgb="FF508D5F"/>
      </left>
      <bottom style="thick">
        <color rgb="FF508D5F"/>
      </bottom>
    </border>
    <border>
      <bottom style="thick">
        <color rgb="FF508D5F"/>
      </bottom>
    </border>
    <border>
      <right style="thick">
        <color rgb="FF508D5F"/>
      </right>
      <bottom style="thick">
        <color rgb="FF508D5F"/>
      </bottom>
    </border>
    <border>
      <left/>
      <top/>
      <bottom style="thin">
        <color rgb="FF000000"/>
      </bottom>
    </border>
    <border>
      <top/>
      <bottom style="thin">
        <color rgb="FF000000"/>
      </bottom>
    </border>
    <border>
      <right/>
      <top/>
      <bottom style="thin">
        <color rgb="FF000000"/>
      </bottom>
    </border>
    <border>
      <left/>
      <right style="thin">
        <color rgb="FF000000"/>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2" fillId="4" fontId="1" numFmtId="0" xfId="0" applyAlignment="1" applyBorder="1" applyFill="1" applyFont="1">
      <alignment horizontal="center" vertical="center"/>
    </xf>
    <xf borderId="3" fillId="0" fontId="3" numFmtId="0" xfId="0" applyBorder="1" applyFont="1"/>
    <xf borderId="4" fillId="0" fontId="3" numFmtId="0" xfId="0" applyBorder="1" applyFont="1"/>
    <xf borderId="2" fillId="5" fontId="1" numFmtId="0" xfId="0" applyAlignment="1" applyBorder="1" applyFill="1" applyFont="1">
      <alignment horizontal="center" vertical="center"/>
    </xf>
    <xf borderId="2" fillId="6" fontId="4" numFmtId="0" xfId="0" applyAlignment="1" applyBorder="1" applyFill="1" applyFont="1">
      <alignment horizontal="center" vertical="center"/>
    </xf>
    <xf borderId="5" fillId="7" fontId="1" numFmtId="0" xfId="0" applyAlignment="1" applyBorder="1" applyFill="1" applyFont="1">
      <alignment horizontal="center" vertical="center"/>
    </xf>
    <xf borderId="1" fillId="0" fontId="2" numFmtId="0" xfId="0" applyAlignment="1" applyBorder="1" applyFont="1">
      <alignment vertical="center"/>
    </xf>
    <xf borderId="2" fillId="8" fontId="2" numFmtId="0" xfId="0" applyAlignment="1" applyBorder="1" applyFill="1" applyFont="1">
      <alignment horizontal="center" vertical="center"/>
    </xf>
    <xf borderId="2" fillId="9" fontId="2" numFmtId="0" xfId="0" applyAlignment="1" applyBorder="1" applyFill="1" applyFont="1">
      <alignment horizontal="center" vertical="center"/>
    </xf>
    <xf borderId="2" fillId="10" fontId="2" numFmtId="0" xfId="0" applyAlignment="1" applyBorder="1" applyFill="1" applyFont="1">
      <alignment horizontal="center" vertical="center"/>
    </xf>
    <xf borderId="6" fillId="0" fontId="3" numFmtId="0" xfId="0" applyBorder="1" applyFont="1"/>
    <xf borderId="0" fillId="0" fontId="2" numFmtId="0" xfId="0" applyAlignment="1" applyFont="1">
      <alignment shrinkToFit="0" vertical="center" wrapText="1"/>
    </xf>
    <xf borderId="1" fillId="0" fontId="2" numFmtId="0" xfId="0" applyAlignment="1" applyBorder="1" applyFont="1">
      <alignment shrinkToFit="0" vertical="center" wrapText="1"/>
    </xf>
    <xf borderId="7" fillId="11" fontId="5" numFmtId="0" xfId="0" applyBorder="1" applyFill="1" applyFont="1"/>
    <xf borderId="8" fillId="0" fontId="2" numFmtId="0" xfId="0" applyBorder="1" applyFont="1"/>
    <xf borderId="7" fillId="12" fontId="2" numFmtId="0" xfId="0" applyBorder="1" applyFill="1" applyFont="1"/>
    <xf borderId="9" fillId="0" fontId="2" numFmtId="0" xfId="0" applyBorder="1" applyFont="1"/>
    <xf borderId="0" fillId="0" fontId="2" numFmtId="0" xfId="0" applyFont="1"/>
    <xf borderId="0" fillId="0" fontId="6" numFmtId="0" xfId="0" applyAlignment="1" applyFont="1">
      <alignment horizontal="right"/>
    </xf>
    <xf borderId="1" fillId="0" fontId="2" numFmtId="0" xfId="0" applyBorder="1" applyFont="1"/>
    <xf borderId="7" fillId="11" fontId="2" numFmtId="0" xfId="0" applyBorder="1" applyFont="1"/>
    <xf borderId="7" fillId="11" fontId="2" numFmtId="0" xfId="0" applyAlignment="1" applyBorder="1" applyFont="1">
      <alignment shrinkToFit="0" wrapText="1"/>
    </xf>
    <xf borderId="0" fillId="0" fontId="2" numFmtId="0" xfId="0" applyAlignment="1" applyFont="1">
      <alignment vertical="center"/>
    </xf>
    <xf borderId="7" fillId="11" fontId="2" numFmtId="0" xfId="0" applyAlignment="1" applyBorder="1" applyFont="1">
      <alignment vertical="center"/>
    </xf>
    <xf borderId="7" fillId="11" fontId="5" numFmtId="0" xfId="0" applyAlignment="1" applyBorder="1" applyFont="1">
      <alignment vertical="center"/>
    </xf>
    <xf borderId="9" fillId="0" fontId="2" numFmtId="164" xfId="0" applyBorder="1" applyFont="1" applyNumberFormat="1"/>
    <xf borderId="1" fillId="0" fontId="2" numFmtId="164" xfId="0" applyBorder="1" applyFont="1" applyNumberFormat="1"/>
    <xf borderId="7" fillId="12" fontId="2" numFmtId="0" xfId="0" applyAlignment="1" applyBorder="1" applyFont="1">
      <alignment vertical="center"/>
    </xf>
    <xf borderId="10" fillId="0" fontId="2" numFmtId="0" xfId="0" applyBorder="1" applyFont="1"/>
    <xf borderId="7" fillId="3" fontId="2" numFmtId="0" xfId="0" applyBorder="1" applyFont="1"/>
    <xf borderId="11" fillId="3" fontId="2" numFmtId="0" xfId="0" applyBorder="1" applyFont="1"/>
    <xf borderId="1" fillId="12" fontId="2" numFmtId="0" xfId="0" applyBorder="1" applyFont="1"/>
    <xf borderId="0" fillId="0" fontId="6" numFmtId="0" xfId="0" applyFont="1"/>
    <xf borderId="12" fillId="0" fontId="2" numFmtId="0" xfId="0" applyAlignment="1" applyBorder="1" applyFont="1">
      <alignment horizontal="left" shrinkToFit="0" vertical="top" wrapText="1"/>
    </xf>
    <xf borderId="13" fillId="0" fontId="3" numFmtId="0" xfId="0" applyBorder="1" applyFont="1"/>
    <xf borderId="14" fillId="0" fontId="3" numFmtId="0" xfId="0" applyBorder="1" applyFont="1"/>
    <xf borderId="15" fillId="0" fontId="2" numFmtId="0" xfId="0" applyAlignment="1" applyBorder="1" applyFont="1">
      <alignment shrinkToFit="0" vertical="top" wrapText="1"/>
    </xf>
    <xf borderId="16" fillId="0" fontId="3" numFmtId="0" xfId="0" applyBorder="1" applyFont="1"/>
    <xf borderId="17" fillId="0" fontId="3" numFmtId="0" xfId="0" applyBorder="1" applyFont="1"/>
    <xf borderId="18" fillId="0" fontId="2" numFmtId="0" xfId="0" applyAlignment="1" applyBorder="1" applyFont="1">
      <alignment shrinkToFit="0" vertical="top" wrapText="1"/>
    </xf>
    <xf borderId="19" fillId="0" fontId="3" numFmtId="0" xfId="0" applyBorder="1" applyFont="1"/>
    <xf borderId="20" fillId="0" fontId="3" numFmtId="0" xfId="0" applyBorder="1" applyFont="1"/>
    <xf borderId="18" fillId="12" fontId="2" numFmtId="0" xfId="0" applyAlignment="1" applyBorder="1" applyFont="1">
      <alignment shrinkToFit="0" vertical="top" wrapText="1"/>
    </xf>
    <xf borderId="21" fillId="0" fontId="3" numFmtId="0" xfId="0" applyBorder="1" applyFont="1"/>
    <xf borderId="22" fillId="0" fontId="3" numFmtId="0" xfId="0" applyBorder="1" applyFont="1"/>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0" fontId="3" numFmtId="0" xfId="0" applyBorder="1" applyFont="1"/>
    <xf borderId="34" fillId="0" fontId="3" numFmtId="0" xfId="0" applyBorder="1" applyFont="1"/>
    <xf borderId="35" fillId="0" fontId="3" numFmtId="0" xfId="0" applyBorder="1" applyFont="1"/>
    <xf borderId="36" fillId="13" fontId="0" numFmtId="0" xfId="0" applyAlignment="1" applyBorder="1" applyFill="1" applyFont="1">
      <alignment horizontal="center"/>
    </xf>
    <xf borderId="37" fillId="0" fontId="3" numFmtId="0" xfId="0" applyBorder="1" applyFont="1"/>
    <xf borderId="38" fillId="0" fontId="3" numFmtId="0" xfId="0" applyBorder="1" applyFont="1"/>
    <xf borderId="0" fillId="13" fontId="0" numFmtId="0" xfId="0" applyAlignment="1" applyFont="1">
      <alignment horizontal="center"/>
    </xf>
    <xf borderId="0" fillId="7" fontId="1" numFmtId="0" xfId="0" applyAlignment="1" applyFont="1">
      <alignment horizontal="center" vertical="center"/>
    </xf>
    <xf borderId="0" fillId="0" fontId="7" numFmtId="0" xfId="0" applyAlignment="1" applyFont="1">
      <alignment horizontal="right"/>
    </xf>
    <xf borderId="0" fillId="0" fontId="2" numFmtId="11" xfId="0" applyFont="1" applyNumberFormat="1"/>
    <xf borderId="9" fillId="0" fontId="2" numFmtId="11" xfId="0" applyBorder="1" applyFont="1" applyNumberFormat="1"/>
    <xf borderId="1" fillId="0" fontId="2" numFmtId="11" xfId="0" applyBorder="1" applyFont="1" applyNumberFormat="1"/>
    <xf borderId="7" fillId="11" fontId="8" numFmtId="0" xfId="0" applyBorder="1" applyFont="1"/>
    <xf borderId="0" fillId="0" fontId="8" numFmtId="0" xfId="0" applyFont="1"/>
    <xf borderId="9" fillId="0" fontId="8" numFmtId="0" xfId="0" applyBorder="1" applyFont="1"/>
    <xf borderId="1" fillId="0" fontId="8" numFmtId="0" xfId="0" applyBorder="1" applyFont="1"/>
    <xf borderId="8" fillId="0" fontId="2" numFmtId="0" xfId="0" applyAlignment="1" applyBorder="1" applyFont="1">
      <alignment horizontal="right"/>
    </xf>
    <xf borderId="0" fillId="0" fontId="2" numFmtId="0" xfId="0" applyAlignment="1" applyFont="1">
      <alignment horizontal="right"/>
    </xf>
    <xf borderId="9" fillId="0" fontId="2" numFmtId="0" xfId="0" applyAlignment="1" applyBorder="1" applyFont="1">
      <alignment horizontal="right"/>
    </xf>
    <xf borderId="7" fillId="14" fontId="2" numFmtId="0" xfId="0" applyBorder="1" applyFill="1" applyFont="1"/>
    <xf borderId="39" fillId="14" fontId="2" numFmtId="0" xfId="0" applyBorder="1" applyFont="1"/>
    <xf borderId="7" fillId="14" fontId="2" numFmtId="0" xfId="0" applyAlignment="1" applyBorder="1" applyFont="1">
      <alignment shrinkToFit="0" vertical="center" wrapText="1"/>
    </xf>
    <xf borderId="7" fillId="14" fontId="7" numFmtId="0" xfId="0" applyAlignment="1" applyBorder="1" applyFont="1">
      <alignment horizontal="right"/>
    </xf>
    <xf borderId="0" fillId="0" fontId="5" numFmtId="0" xfId="0" applyFont="1"/>
    <xf borderId="0" fillId="0" fontId="7" numFmtId="0" xfId="0" applyAlignment="1" applyFont="1">
      <alignment readingOrder="0" shrinkToFit="0" vertical="top" wrapText="1"/>
    </xf>
    <xf borderId="0" fillId="0" fontId="7" numFmtId="0" xfId="0" applyAlignment="1" applyFont="1">
      <alignment readingOrder="0" shrinkToFit="0" wrapText="1"/>
    </xf>
    <xf borderId="0" fillId="0" fontId="6" numFmtId="0" xfId="0" applyAlignment="1" applyFont="1">
      <alignment vertical="top"/>
    </xf>
    <xf borderId="9" fillId="0" fontId="2" numFmtId="0" xfId="0" applyAlignment="1" applyBorder="1" applyFont="1">
      <alignment vertical="center"/>
    </xf>
    <xf borderId="11" fillId="14" fontId="2" numFmtId="0" xfId="0" applyBorder="1" applyFont="1"/>
    <xf borderId="0" fillId="0" fontId="7"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7" width="9.38"/>
  </cols>
  <sheetData>
    <row r="1" ht="14.25" customHeight="1">
      <c r="A1" s="1" t="s">
        <v>0</v>
      </c>
      <c r="B1" s="2"/>
      <c r="C1" s="3" t="s">
        <v>1</v>
      </c>
      <c r="D1" s="4"/>
      <c r="E1" s="5"/>
      <c r="F1" s="6" t="s">
        <v>2</v>
      </c>
      <c r="G1" s="4"/>
      <c r="H1" s="5"/>
      <c r="I1" s="7" t="s">
        <v>3</v>
      </c>
      <c r="J1" s="4"/>
      <c r="K1" s="4"/>
      <c r="L1" s="4"/>
      <c r="M1" s="4"/>
      <c r="N1" s="4"/>
      <c r="O1" s="4"/>
      <c r="P1" s="4"/>
      <c r="Q1" s="4"/>
      <c r="R1" s="4"/>
      <c r="S1" s="4"/>
      <c r="T1" s="4"/>
      <c r="U1" s="4"/>
      <c r="V1" s="4"/>
      <c r="W1" s="4"/>
      <c r="X1" s="4"/>
      <c r="Y1" s="4"/>
      <c r="Z1" s="5"/>
      <c r="AA1" s="8" t="s">
        <v>4</v>
      </c>
    </row>
    <row r="2" ht="14.25" customHeight="1">
      <c r="A2" s="9"/>
      <c r="B2" s="9"/>
      <c r="C2" s="10" t="s">
        <v>5</v>
      </c>
      <c r="D2" s="4"/>
      <c r="E2" s="5"/>
      <c r="F2" s="11" t="s">
        <v>6</v>
      </c>
      <c r="G2" s="4"/>
      <c r="H2" s="5"/>
      <c r="I2" s="12" t="s">
        <v>7</v>
      </c>
      <c r="J2" s="4"/>
      <c r="K2" s="5"/>
      <c r="L2" s="12" t="s">
        <v>8</v>
      </c>
      <c r="M2" s="4"/>
      <c r="N2" s="5"/>
      <c r="O2" s="12" t="s">
        <v>9</v>
      </c>
      <c r="P2" s="4"/>
      <c r="Q2" s="5"/>
      <c r="R2" s="12" t="s">
        <v>10</v>
      </c>
      <c r="S2" s="4"/>
      <c r="T2" s="5"/>
      <c r="U2" s="12" t="s">
        <v>11</v>
      </c>
      <c r="V2" s="4"/>
      <c r="W2" s="5"/>
      <c r="X2" s="12" t="s">
        <v>12</v>
      </c>
      <c r="Y2" s="4"/>
      <c r="Z2" s="5"/>
      <c r="AA2" s="13"/>
    </row>
    <row r="3" ht="14.25" customHeight="1">
      <c r="A3" s="14"/>
      <c r="B3" s="15" t="s">
        <v>13</v>
      </c>
      <c r="C3" s="15" t="s">
        <v>14</v>
      </c>
      <c r="D3" s="15" t="s">
        <v>15</v>
      </c>
      <c r="E3" s="15" t="s">
        <v>16</v>
      </c>
      <c r="F3" s="15" t="s">
        <v>14</v>
      </c>
      <c r="G3" s="15" t="s">
        <v>15</v>
      </c>
      <c r="H3" s="15" t="s">
        <v>16</v>
      </c>
      <c r="I3" s="15" t="s">
        <v>14</v>
      </c>
      <c r="J3" s="15" t="s">
        <v>15</v>
      </c>
      <c r="K3" s="15" t="s">
        <v>16</v>
      </c>
      <c r="L3" s="15" t="s">
        <v>14</v>
      </c>
      <c r="M3" s="15" t="s">
        <v>15</v>
      </c>
      <c r="N3" s="15" t="s">
        <v>16</v>
      </c>
      <c r="O3" s="15" t="s">
        <v>14</v>
      </c>
      <c r="P3" s="15" t="s">
        <v>15</v>
      </c>
      <c r="Q3" s="15" t="s">
        <v>16</v>
      </c>
      <c r="R3" s="15" t="s">
        <v>14</v>
      </c>
      <c r="S3" s="15" t="s">
        <v>15</v>
      </c>
      <c r="T3" s="15" t="s">
        <v>16</v>
      </c>
      <c r="U3" s="15" t="s">
        <v>14</v>
      </c>
      <c r="V3" s="15" t="s">
        <v>15</v>
      </c>
      <c r="W3" s="15" t="s">
        <v>16</v>
      </c>
      <c r="X3" s="15" t="s">
        <v>14</v>
      </c>
      <c r="Y3" s="15" t="s">
        <v>15</v>
      </c>
      <c r="Z3" s="15" t="s">
        <v>16</v>
      </c>
      <c r="AA3" s="15" t="s">
        <v>16</v>
      </c>
    </row>
    <row r="4" ht="14.25" customHeight="1">
      <c r="A4" s="16" t="s">
        <v>17</v>
      </c>
      <c r="C4" s="17"/>
      <c r="D4" s="18"/>
      <c r="E4" s="19"/>
      <c r="H4" s="19"/>
      <c r="J4" s="20"/>
      <c r="K4" s="19"/>
      <c r="N4" s="19"/>
      <c r="P4" s="20"/>
      <c r="Q4" s="19"/>
      <c r="S4" s="20"/>
      <c r="T4" s="19"/>
      <c r="V4" s="20"/>
      <c r="W4" s="19"/>
      <c r="X4" s="21"/>
      <c r="AA4" s="22"/>
    </row>
    <row r="5" ht="14.25" customHeight="1">
      <c r="A5" s="23" t="s">
        <v>18</v>
      </c>
      <c r="B5" s="20" t="s">
        <v>19</v>
      </c>
      <c r="C5" s="17">
        <v>0.959</v>
      </c>
      <c r="D5" s="18">
        <f>(371.7+60)*0.001</f>
        <v>0.4317</v>
      </c>
      <c r="E5" s="19">
        <f t="shared" ref="E5:E11" si="1">C5*D5</f>
        <v>0.4140003</v>
      </c>
      <c r="H5" s="19"/>
      <c r="J5" s="20">
        <v>0.0</v>
      </c>
      <c r="K5" s="19">
        <v>0.0</v>
      </c>
      <c r="L5" s="20">
        <v>-0.479</v>
      </c>
      <c r="M5" s="20">
        <f>0.2*D5</f>
        <v>0.08634</v>
      </c>
      <c r="N5" s="19">
        <f t="shared" ref="N5:N9" si="2">L5*M5</f>
        <v>-0.04135686</v>
      </c>
      <c r="O5" s="20">
        <v>0.008</v>
      </c>
      <c r="P5" s="20">
        <f>0.5*D5</f>
        <v>0.21585</v>
      </c>
      <c r="Q5" s="19">
        <f t="shared" ref="Q5:Q10" si="3">O5*P5</f>
        <v>0.0017268</v>
      </c>
      <c r="R5" s="20">
        <v>0.423</v>
      </c>
      <c r="S5" s="20">
        <f>0.1*D5</f>
        <v>0.04317</v>
      </c>
      <c r="T5" s="19">
        <f t="shared" ref="T5:T11" si="4">S5*R5</f>
        <v>0.01826091</v>
      </c>
      <c r="U5" s="20">
        <v>0.191</v>
      </c>
      <c r="V5" s="20">
        <f>0.2*D5</f>
        <v>0.08634</v>
      </c>
      <c r="W5" s="19">
        <f t="shared" ref="W5:W11" si="5">U5*V5</f>
        <v>0.01649094</v>
      </c>
      <c r="X5" s="21"/>
      <c r="Y5" s="20">
        <v>0.0</v>
      </c>
      <c r="Z5" s="20">
        <f t="shared" ref="Z5:Z11" si="6">X5*Y5</f>
        <v>0</v>
      </c>
      <c r="AA5" s="22">
        <f t="shared" ref="AA5:AA11" si="7">E5+K5+H5+N5+Q5+T5+W5+Z5</f>
        <v>0.40912209</v>
      </c>
    </row>
    <row r="6" ht="14.25" customHeight="1">
      <c r="A6" s="24" t="s">
        <v>20</v>
      </c>
      <c r="B6" s="20" t="s">
        <v>19</v>
      </c>
      <c r="C6" s="17">
        <v>1.748</v>
      </c>
      <c r="D6" s="20">
        <v>0.2</v>
      </c>
      <c r="E6" s="19">
        <f t="shared" si="1"/>
        <v>0.3496</v>
      </c>
      <c r="H6" s="19"/>
      <c r="J6" s="20">
        <v>0.0</v>
      </c>
      <c r="K6" s="19">
        <v>0.0</v>
      </c>
      <c r="L6" s="20">
        <v>-0.946</v>
      </c>
      <c r="M6" s="20">
        <f t="shared" ref="M6:M7" si="8">D6*0.4</f>
        <v>0.08</v>
      </c>
      <c r="N6" s="19">
        <f t="shared" si="2"/>
        <v>-0.07568</v>
      </c>
      <c r="O6" s="20">
        <v>0.0</v>
      </c>
      <c r="P6" s="20">
        <v>0.0</v>
      </c>
      <c r="Q6" s="19">
        <f t="shared" si="3"/>
        <v>0</v>
      </c>
      <c r="R6" s="20">
        <v>0.0</v>
      </c>
      <c r="S6" s="20">
        <f t="shared" ref="S6:S7" si="9">0.55*D6</f>
        <v>0.11</v>
      </c>
      <c r="T6" s="19">
        <f t="shared" si="4"/>
        <v>0</v>
      </c>
      <c r="U6" s="20">
        <v>1.05E-6</v>
      </c>
      <c r="V6" s="20">
        <f t="shared" ref="V6:V7" si="10">0.05*D6</f>
        <v>0.01</v>
      </c>
      <c r="W6" s="19">
        <f t="shared" si="5"/>
        <v>0.0000000105</v>
      </c>
      <c r="Y6" s="20">
        <v>0.0</v>
      </c>
      <c r="Z6" s="20">
        <f t="shared" si="6"/>
        <v>0</v>
      </c>
      <c r="AA6" s="22">
        <f t="shared" si="7"/>
        <v>0.2739200105</v>
      </c>
    </row>
    <row r="7" ht="14.25" customHeight="1">
      <c r="A7" s="24" t="s">
        <v>21</v>
      </c>
      <c r="B7" s="25" t="s">
        <v>19</v>
      </c>
      <c r="C7" s="17">
        <v>1.21</v>
      </c>
      <c r="D7" s="20">
        <f>61/1000</f>
        <v>0.061</v>
      </c>
      <c r="E7" s="19">
        <f t="shared" si="1"/>
        <v>0.07381</v>
      </c>
      <c r="H7" s="19"/>
      <c r="J7" s="20">
        <v>0.0</v>
      </c>
      <c r="K7" s="19">
        <v>0.0</v>
      </c>
      <c r="L7" s="20">
        <v>-1.18</v>
      </c>
      <c r="M7" s="20">
        <f t="shared" si="8"/>
        <v>0.0244</v>
      </c>
      <c r="N7" s="19">
        <f t="shared" si="2"/>
        <v>-0.028792</v>
      </c>
      <c r="O7" s="20">
        <v>0.0</v>
      </c>
      <c r="P7" s="20">
        <v>0.0</v>
      </c>
      <c r="Q7" s="19">
        <f t="shared" si="3"/>
        <v>0</v>
      </c>
      <c r="R7" s="20">
        <v>0.0</v>
      </c>
      <c r="S7" s="20">
        <f t="shared" si="9"/>
        <v>0.03355</v>
      </c>
      <c r="T7" s="19">
        <f t="shared" si="4"/>
        <v>0</v>
      </c>
      <c r="U7" s="20">
        <v>4.21E-7</v>
      </c>
      <c r="V7" s="20">
        <f t="shared" si="10"/>
        <v>0.00305</v>
      </c>
      <c r="W7" s="19">
        <f t="shared" si="5"/>
        <v>0.00000000128405</v>
      </c>
      <c r="Y7" s="20">
        <v>0.0</v>
      </c>
      <c r="Z7" s="20">
        <f t="shared" si="6"/>
        <v>0</v>
      </c>
      <c r="AA7" s="22">
        <f t="shared" si="7"/>
        <v>0.04501800128</v>
      </c>
    </row>
    <row r="8" ht="14.25" customHeight="1">
      <c r="A8" s="26" t="s">
        <v>22</v>
      </c>
      <c r="B8" s="20" t="s">
        <v>19</v>
      </c>
      <c r="C8" s="17">
        <v>2.8</v>
      </c>
      <c r="D8" s="20">
        <v>0.002</v>
      </c>
      <c r="E8" s="19">
        <f t="shared" si="1"/>
        <v>0.0056</v>
      </c>
      <c r="H8" s="19"/>
      <c r="J8" s="20">
        <v>0.0</v>
      </c>
      <c r="K8" s="19">
        <v>0.0</v>
      </c>
      <c r="L8" s="20">
        <v>0.0</v>
      </c>
      <c r="M8" s="20">
        <v>0.0</v>
      </c>
      <c r="N8" s="19">
        <f t="shared" si="2"/>
        <v>0</v>
      </c>
      <c r="O8" s="20">
        <v>0.0</v>
      </c>
      <c r="P8" s="20">
        <v>0.0</v>
      </c>
      <c r="Q8" s="19">
        <f t="shared" si="3"/>
        <v>0</v>
      </c>
      <c r="R8" s="20">
        <v>0.0</v>
      </c>
      <c r="S8" s="20">
        <f t="shared" ref="S8:S9" si="11">1*D8</f>
        <v>0.002</v>
      </c>
      <c r="T8" s="19">
        <f t="shared" si="4"/>
        <v>0</v>
      </c>
      <c r="U8" s="20">
        <v>0.0</v>
      </c>
      <c r="V8" s="20">
        <v>0.0</v>
      </c>
      <c r="W8" s="19">
        <f t="shared" si="5"/>
        <v>0</v>
      </c>
      <c r="Y8" s="20">
        <v>0.0</v>
      </c>
      <c r="Z8" s="20">
        <f t="shared" si="6"/>
        <v>0</v>
      </c>
      <c r="AA8" s="22">
        <f t="shared" si="7"/>
        <v>0.0056</v>
      </c>
    </row>
    <row r="9" ht="14.25" customHeight="1">
      <c r="A9" s="26" t="s">
        <v>23</v>
      </c>
      <c r="B9" s="20" t="s">
        <v>19</v>
      </c>
      <c r="C9" s="17">
        <v>0.279</v>
      </c>
      <c r="D9" s="20">
        <f>158.2/1000</f>
        <v>0.1582</v>
      </c>
      <c r="E9" s="19">
        <f t="shared" si="1"/>
        <v>0.0441378</v>
      </c>
      <c r="H9" s="19"/>
      <c r="J9" s="20">
        <v>0.0</v>
      </c>
      <c r="K9" s="19">
        <v>0.0</v>
      </c>
      <c r="L9" s="20">
        <v>-0.223</v>
      </c>
      <c r="M9" s="20">
        <v>0.0</v>
      </c>
      <c r="N9" s="19">
        <f t="shared" si="2"/>
        <v>0</v>
      </c>
      <c r="O9" s="20">
        <v>0.0</v>
      </c>
      <c r="P9" s="20">
        <v>0.0</v>
      </c>
      <c r="Q9" s="19">
        <f t="shared" si="3"/>
        <v>0</v>
      </c>
      <c r="R9" s="20">
        <v>0.0</v>
      </c>
      <c r="S9" s="20">
        <f t="shared" si="11"/>
        <v>0.1582</v>
      </c>
      <c r="T9" s="19">
        <f t="shared" si="4"/>
        <v>0</v>
      </c>
      <c r="U9" s="20">
        <v>2.11E-6</v>
      </c>
      <c r="V9" s="20">
        <f>0*D9</f>
        <v>0</v>
      </c>
      <c r="W9" s="19">
        <f t="shared" si="5"/>
        <v>0</v>
      </c>
      <c r="Y9" s="20">
        <v>0.0</v>
      </c>
      <c r="Z9" s="20">
        <f t="shared" si="6"/>
        <v>0</v>
      </c>
      <c r="AA9" s="22">
        <f t="shared" si="7"/>
        <v>0.0441378</v>
      </c>
    </row>
    <row r="10" ht="14.25" customHeight="1">
      <c r="A10" s="26" t="s">
        <v>24</v>
      </c>
      <c r="B10" s="20" t="s">
        <v>19</v>
      </c>
      <c r="C10" s="17">
        <v>0.773</v>
      </c>
      <c r="D10" s="20">
        <v>0.02</v>
      </c>
      <c r="E10" s="19">
        <f t="shared" si="1"/>
        <v>0.01546</v>
      </c>
      <c r="H10" s="19"/>
      <c r="J10" s="20">
        <v>0.0</v>
      </c>
      <c r="K10" s="19">
        <v>0.0</v>
      </c>
      <c r="L10" s="20">
        <v>-0.387</v>
      </c>
      <c r="M10" s="20">
        <f>0.75*D10</f>
        <v>0.015</v>
      </c>
      <c r="N10" s="19">
        <f>L9*M10</f>
        <v>-0.003345</v>
      </c>
      <c r="O10" s="20">
        <v>0.128</v>
      </c>
      <c r="P10" s="20">
        <f>0.1*D10</f>
        <v>0.002</v>
      </c>
      <c r="Q10" s="19">
        <f t="shared" si="3"/>
        <v>0.000256</v>
      </c>
      <c r="R10" s="20">
        <v>0.282</v>
      </c>
      <c r="S10" s="20">
        <v>0.0</v>
      </c>
      <c r="T10" s="19">
        <f t="shared" si="4"/>
        <v>0</v>
      </c>
      <c r="U10" s="20">
        <v>0.038</v>
      </c>
      <c r="V10" s="20">
        <f>0.15*D10</f>
        <v>0.003</v>
      </c>
      <c r="W10" s="19">
        <f t="shared" si="5"/>
        <v>0.000114</v>
      </c>
      <c r="Y10" s="20">
        <v>0.0</v>
      </c>
      <c r="Z10" s="20">
        <f t="shared" si="6"/>
        <v>0</v>
      </c>
      <c r="AA10" s="22">
        <f t="shared" si="7"/>
        <v>0.012485</v>
      </c>
    </row>
    <row r="11" ht="14.25" customHeight="1">
      <c r="A11" s="26" t="s">
        <v>25</v>
      </c>
      <c r="B11" s="20" t="s">
        <v>19</v>
      </c>
      <c r="C11" s="17">
        <v>1.036</v>
      </c>
      <c r="D11" s="20">
        <v>0.001</v>
      </c>
      <c r="E11" s="19">
        <f t="shared" si="1"/>
        <v>0.001036</v>
      </c>
      <c r="H11" s="19"/>
      <c r="J11" s="20">
        <v>0.0</v>
      </c>
      <c r="K11" s="19">
        <v>0.0</v>
      </c>
      <c r="L11" s="20">
        <v>-0.518</v>
      </c>
      <c r="M11" s="20">
        <v>0.0</v>
      </c>
      <c r="N11" s="19">
        <v>0.0</v>
      </c>
      <c r="O11" s="20">
        <v>0.278</v>
      </c>
      <c r="P11" s="20">
        <v>0.0</v>
      </c>
      <c r="Q11" s="19">
        <v>0.0</v>
      </c>
      <c r="R11" s="20">
        <v>0.28</v>
      </c>
      <c r="S11" s="20">
        <f>1*D11</f>
        <v>0.001</v>
      </c>
      <c r="T11" s="19">
        <f t="shared" si="4"/>
        <v>0.00028</v>
      </c>
      <c r="U11" s="20">
        <v>2.11E-6</v>
      </c>
      <c r="V11" s="20">
        <v>0.0</v>
      </c>
      <c r="W11" s="19">
        <f t="shared" si="5"/>
        <v>0</v>
      </c>
      <c r="X11" s="20">
        <v>0.033</v>
      </c>
      <c r="Y11" s="20">
        <v>0.0</v>
      </c>
      <c r="Z11" s="20">
        <f t="shared" si="6"/>
        <v>0</v>
      </c>
      <c r="AA11" s="22">
        <f t="shared" si="7"/>
        <v>0.001316</v>
      </c>
    </row>
    <row r="12" ht="14.25" customHeight="1">
      <c r="A12" s="18"/>
      <c r="C12" s="17"/>
      <c r="E12" s="19"/>
      <c r="H12" s="19"/>
      <c r="K12" s="19"/>
      <c r="N12" s="19"/>
      <c r="Q12" s="19"/>
      <c r="T12" s="19"/>
      <c r="W12" s="19"/>
      <c r="AA12" s="22"/>
    </row>
    <row r="13" ht="14.25" customHeight="1">
      <c r="A13" s="27" t="s">
        <v>26</v>
      </c>
      <c r="C13" s="17"/>
      <c r="E13" s="19"/>
      <c r="H13" s="19"/>
      <c r="K13" s="19"/>
      <c r="N13" s="19"/>
      <c r="Q13" s="19"/>
      <c r="T13" s="19"/>
      <c r="W13" s="19"/>
      <c r="AA13" s="22"/>
    </row>
    <row r="14" ht="14.25" customHeight="1">
      <c r="A14" s="26" t="s">
        <v>27</v>
      </c>
      <c r="B14" s="20" t="s">
        <v>19</v>
      </c>
      <c r="C14" s="17">
        <v>0.0658</v>
      </c>
      <c r="D14" s="20">
        <f>D5+D8+D10+D11</f>
        <v>0.4547</v>
      </c>
      <c r="E14" s="28">
        <f t="shared" ref="E14:E15" si="12">D14*C14</f>
        <v>0.02991926</v>
      </c>
      <c r="H14" s="19"/>
      <c r="K14" s="19"/>
      <c r="N14" s="19"/>
      <c r="Q14" s="19"/>
      <c r="T14" s="19"/>
      <c r="W14" s="19"/>
      <c r="AA14" s="29">
        <f t="shared" ref="AA14:AA15" si="13">E14+K14+H14+N14+Q14+T14+W14+Z14</f>
        <v>0.02991926</v>
      </c>
    </row>
    <row r="15" ht="14.25" customHeight="1">
      <c r="A15" s="26" t="s">
        <v>28</v>
      </c>
      <c r="B15" s="20" t="s">
        <v>19</v>
      </c>
      <c r="C15" s="17">
        <v>0.0274</v>
      </c>
      <c r="D15" s="20">
        <f>D6+D7+D9</f>
        <v>0.4192</v>
      </c>
      <c r="E15" s="19">
        <f t="shared" si="12"/>
        <v>0.01148608</v>
      </c>
      <c r="F15" s="20"/>
      <c r="G15" s="20"/>
      <c r="H15" s="19"/>
      <c r="K15" s="19"/>
      <c r="N15" s="19"/>
      <c r="Q15" s="19"/>
      <c r="T15" s="19"/>
      <c r="W15" s="19"/>
      <c r="AA15" s="22">
        <f t="shared" si="13"/>
        <v>0.01148608</v>
      </c>
    </row>
    <row r="16" ht="14.25" customHeight="1">
      <c r="A16" s="30"/>
      <c r="B16" s="20"/>
      <c r="C16" s="17"/>
      <c r="E16" s="19"/>
      <c r="F16" s="20"/>
      <c r="G16" s="20"/>
      <c r="H16" s="19"/>
      <c r="K16" s="19"/>
      <c r="N16" s="19"/>
      <c r="Q16" s="19"/>
      <c r="T16" s="19"/>
      <c r="W16" s="19"/>
      <c r="AA16" s="22"/>
    </row>
    <row r="17" ht="14.25" customHeight="1">
      <c r="A17" s="27" t="s">
        <v>29</v>
      </c>
      <c r="B17" s="20"/>
      <c r="C17" s="17"/>
      <c r="E17" s="19"/>
      <c r="F17" s="20"/>
      <c r="G17" s="20"/>
      <c r="H17" s="19"/>
      <c r="K17" s="19"/>
      <c r="N17" s="19"/>
      <c r="Q17" s="19"/>
      <c r="T17" s="19"/>
      <c r="W17" s="19"/>
      <c r="AA17" s="22"/>
    </row>
    <row r="18" ht="14.25" customHeight="1">
      <c r="A18" s="26" t="s">
        <v>30</v>
      </c>
      <c r="B18" s="20" t="s">
        <v>19</v>
      </c>
      <c r="C18" s="17"/>
      <c r="E18" s="19"/>
      <c r="F18" s="20">
        <v>8.19E-5</v>
      </c>
      <c r="G18" s="20">
        <v>730.0</v>
      </c>
      <c r="H18" s="19">
        <f>G18*F18</f>
        <v>0.059787</v>
      </c>
      <c r="K18" s="19"/>
      <c r="N18" s="19"/>
      <c r="Q18" s="19"/>
      <c r="T18" s="19"/>
      <c r="W18" s="19"/>
      <c r="AA18" s="22">
        <f t="shared" ref="AA18:AA22" si="14">E18+K18+H18+N18+Q18+T18+W18+Z18</f>
        <v>0.059787</v>
      </c>
    </row>
    <row r="19" ht="14.25" customHeight="1">
      <c r="A19" s="26" t="s">
        <v>31</v>
      </c>
      <c r="B19" s="20" t="s">
        <v>19</v>
      </c>
      <c r="C19" s="17"/>
      <c r="E19" s="19"/>
      <c r="F19" s="20">
        <v>2.0</v>
      </c>
      <c r="G19" s="14">
        <v>73.0</v>
      </c>
      <c r="H19" s="19">
        <f t="shared" ref="H19:H20" si="15">F19*G19</f>
        <v>146</v>
      </c>
      <c r="K19" s="19"/>
      <c r="N19" s="19"/>
      <c r="O19" s="20">
        <v>-0.0412</v>
      </c>
      <c r="P19" s="20">
        <v>0.0</v>
      </c>
      <c r="Q19" s="19">
        <f>O19*P19</f>
        <v>0</v>
      </c>
      <c r="T19" s="19"/>
      <c r="U19" s="20">
        <v>0.545</v>
      </c>
      <c r="V19" s="20">
        <f>0.5*G19</f>
        <v>36.5</v>
      </c>
      <c r="W19" s="19">
        <f>U19*V19</f>
        <v>19.8925</v>
      </c>
      <c r="X19" s="20">
        <v>0.0</v>
      </c>
      <c r="Y19" s="20">
        <v>36.5</v>
      </c>
      <c r="Z19" s="20">
        <f>Y19*X19</f>
        <v>0</v>
      </c>
      <c r="AA19" s="22">
        <f t="shared" si="14"/>
        <v>165.8925</v>
      </c>
    </row>
    <row r="20" ht="14.25" customHeight="1">
      <c r="A20" s="26" t="s">
        <v>32</v>
      </c>
      <c r="B20" s="20" t="s">
        <v>33</v>
      </c>
      <c r="C20" s="17"/>
      <c r="E20" s="19"/>
      <c r="F20" s="20">
        <v>0.076</v>
      </c>
      <c r="G20" s="18">
        <v>120.0</v>
      </c>
      <c r="H20" s="19">
        <f t="shared" si="15"/>
        <v>9.12</v>
      </c>
      <c r="K20" s="19"/>
      <c r="N20" s="19"/>
      <c r="Q20" s="19"/>
      <c r="T20" s="19"/>
      <c r="W20" s="19"/>
      <c r="AA20" s="22">
        <f t="shared" si="14"/>
        <v>9.12</v>
      </c>
    </row>
    <row r="21" ht="14.25" customHeight="1">
      <c r="A21" s="23" t="s">
        <v>34</v>
      </c>
      <c r="B21" s="20" t="s">
        <v>35</v>
      </c>
      <c r="C21" s="17"/>
      <c r="E21" s="19"/>
      <c r="H21" s="19"/>
      <c r="K21" s="19"/>
      <c r="N21" s="19"/>
      <c r="Q21" s="19"/>
      <c r="T21" s="19"/>
      <c r="U21" s="20">
        <v>0.068</v>
      </c>
      <c r="V21" s="20">
        <v>0.001</v>
      </c>
      <c r="W21" s="19">
        <v>6.8E-5</v>
      </c>
      <c r="AA21" s="22">
        <f t="shared" si="14"/>
        <v>0.000068</v>
      </c>
    </row>
    <row r="22" ht="14.25" customHeight="1">
      <c r="A22" s="23" t="s">
        <v>36</v>
      </c>
      <c r="B22" s="20" t="s">
        <v>37</v>
      </c>
      <c r="C22" s="17"/>
      <c r="E22" s="19"/>
      <c r="F22" s="20">
        <v>0.166</v>
      </c>
      <c r="G22" s="20">
        <v>4.0</v>
      </c>
      <c r="H22" s="19">
        <f>G22*F22</f>
        <v>0.664</v>
      </c>
      <c r="K22" s="19"/>
      <c r="N22" s="19"/>
      <c r="Q22" s="19"/>
      <c r="T22" s="19"/>
      <c r="U22" s="20"/>
      <c r="V22" s="20"/>
      <c r="W22" s="19"/>
      <c r="AA22" s="22">
        <f t="shared" si="14"/>
        <v>0.664</v>
      </c>
    </row>
    <row r="23">
      <c r="C23" s="17"/>
      <c r="E23" s="19"/>
      <c r="H23" s="19"/>
      <c r="K23" s="19"/>
      <c r="N23" s="19"/>
      <c r="Q23" s="19"/>
      <c r="T23" s="19"/>
      <c r="W23" s="31"/>
      <c r="AA23" s="22"/>
    </row>
    <row r="24" ht="14.25" customHeight="1">
      <c r="A24" s="32" t="s">
        <v>38</v>
      </c>
      <c r="B24" s="32"/>
      <c r="C24" s="33"/>
      <c r="D24" s="32"/>
      <c r="E24" s="22">
        <f>SUM(E5:E22)</f>
        <v>0.94504944</v>
      </c>
      <c r="F24" s="32"/>
      <c r="G24" s="32"/>
      <c r="H24" s="34">
        <f>SUM(H5:H22)</f>
        <v>155.843787</v>
      </c>
      <c r="I24" s="32"/>
      <c r="J24" s="32"/>
      <c r="K24" s="22">
        <f>SUM(K5:K22)</f>
        <v>0</v>
      </c>
      <c r="L24" s="32"/>
      <c r="M24" s="32"/>
      <c r="N24" s="22">
        <f>SUM(N5:N22)</f>
        <v>-0.14917386</v>
      </c>
      <c r="O24" s="32"/>
      <c r="P24" s="32"/>
      <c r="Q24" s="22">
        <f>SUM(Q5:Q22)</f>
        <v>0.0019828</v>
      </c>
      <c r="R24" s="32"/>
      <c r="S24" s="32"/>
      <c r="T24" s="22">
        <f>SUM(T5:T22)</f>
        <v>0.01854091</v>
      </c>
      <c r="U24" s="32"/>
      <c r="V24" s="32"/>
      <c r="W24" s="22">
        <f>SUM(W5:W22)</f>
        <v>19.90917295</v>
      </c>
      <c r="X24" s="32"/>
      <c r="Y24" s="32"/>
      <c r="Z24" s="22">
        <f t="shared" ref="Z24:AA24" si="16">SUM(Z5:Z22)</f>
        <v>0</v>
      </c>
      <c r="AA24" s="22">
        <f t="shared" si="16"/>
        <v>176.5693592</v>
      </c>
    </row>
    <row r="25" ht="14.25" customHeight="1">
      <c r="A25" s="35"/>
      <c r="B25" s="35"/>
      <c r="C25" s="35"/>
      <c r="D25" s="35"/>
      <c r="E25" s="21"/>
      <c r="F25" s="35"/>
    </row>
    <row r="26" ht="14.25" customHeight="1">
      <c r="A26" s="35"/>
      <c r="B26" s="35"/>
      <c r="C26" s="35"/>
      <c r="D26" s="35"/>
      <c r="E26" s="21"/>
      <c r="F26" s="35"/>
    </row>
    <row r="27" ht="14.25" customHeight="1">
      <c r="A27" s="35"/>
      <c r="B27" s="35"/>
      <c r="C27" s="36" t="s">
        <v>39</v>
      </c>
      <c r="D27" s="37"/>
      <c r="E27" s="38"/>
      <c r="F27" s="39" t="s">
        <v>40</v>
      </c>
      <c r="G27" s="40"/>
      <c r="H27" s="41"/>
      <c r="I27" s="42" t="s">
        <v>41</v>
      </c>
      <c r="J27" s="43"/>
      <c r="K27" s="44"/>
      <c r="L27" s="45" t="s">
        <v>42</v>
      </c>
      <c r="M27" s="43"/>
      <c r="N27" s="43"/>
      <c r="O27" s="43"/>
      <c r="P27" s="43"/>
      <c r="Q27" s="43"/>
      <c r="R27" s="43"/>
      <c r="S27" s="43"/>
      <c r="T27" s="43"/>
      <c r="U27" s="43"/>
      <c r="V27" s="43"/>
      <c r="W27" s="43"/>
      <c r="X27" s="43"/>
      <c r="Y27" s="43"/>
      <c r="Z27" s="44"/>
    </row>
    <row r="28" ht="14.25" customHeight="1">
      <c r="A28" s="35"/>
      <c r="B28" s="35"/>
      <c r="C28" s="46"/>
      <c r="E28" s="47"/>
      <c r="F28" s="48"/>
      <c r="H28" s="49"/>
      <c r="I28" s="50"/>
      <c r="K28" s="51"/>
      <c r="L28" s="50"/>
      <c r="Z28" s="51"/>
    </row>
    <row r="29" ht="14.25" customHeight="1">
      <c r="A29" s="35"/>
      <c r="B29" s="35"/>
      <c r="C29" s="46"/>
      <c r="E29" s="47"/>
      <c r="F29" s="48"/>
      <c r="H29" s="49"/>
      <c r="I29" s="50"/>
      <c r="K29" s="51"/>
      <c r="L29" s="50"/>
      <c r="Z29" s="51"/>
    </row>
    <row r="30" ht="14.25" customHeight="1">
      <c r="A30" s="35"/>
      <c r="B30" s="35"/>
      <c r="C30" s="46"/>
      <c r="E30" s="47"/>
      <c r="F30" s="48"/>
      <c r="H30" s="49"/>
      <c r="I30" s="50"/>
      <c r="K30" s="51"/>
      <c r="L30" s="50"/>
      <c r="Z30" s="51"/>
    </row>
    <row r="31" ht="14.25" customHeight="1">
      <c r="C31" s="46"/>
      <c r="E31" s="47"/>
      <c r="F31" s="48"/>
      <c r="H31" s="49"/>
      <c r="I31" s="50"/>
      <c r="K31" s="51"/>
      <c r="L31" s="50"/>
      <c r="Z31" s="51"/>
    </row>
    <row r="32" ht="14.25" customHeight="1">
      <c r="C32" s="46"/>
      <c r="E32" s="47"/>
      <c r="F32" s="48"/>
      <c r="H32" s="49"/>
      <c r="I32" s="50"/>
      <c r="K32" s="51"/>
      <c r="L32" s="50"/>
      <c r="Z32" s="51"/>
    </row>
    <row r="33" ht="14.25" customHeight="1">
      <c r="C33" s="46"/>
      <c r="E33" s="47"/>
      <c r="F33" s="48"/>
      <c r="H33" s="49"/>
      <c r="I33" s="50"/>
      <c r="K33" s="51"/>
      <c r="L33" s="50"/>
      <c r="Z33" s="51"/>
    </row>
    <row r="34" ht="14.25" customHeight="1">
      <c r="C34" s="46"/>
      <c r="E34" s="47"/>
      <c r="F34" s="48"/>
      <c r="H34" s="49"/>
      <c r="I34" s="50"/>
      <c r="K34" s="51"/>
      <c r="L34" s="50"/>
      <c r="Z34" s="51"/>
    </row>
    <row r="35" ht="14.25" customHeight="1">
      <c r="C35" s="46"/>
      <c r="E35" s="47"/>
      <c r="F35" s="48"/>
      <c r="H35" s="49"/>
      <c r="I35" s="50"/>
      <c r="K35" s="51"/>
      <c r="L35" s="50"/>
      <c r="Z35" s="51"/>
    </row>
    <row r="36" ht="14.25" customHeight="1">
      <c r="C36" s="46"/>
      <c r="E36" s="47"/>
      <c r="F36" s="48"/>
      <c r="H36" s="49"/>
      <c r="I36" s="52"/>
      <c r="J36" s="53"/>
      <c r="K36" s="54"/>
      <c r="L36" s="50"/>
      <c r="Z36" s="51"/>
    </row>
    <row r="37" ht="14.25" customHeight="1">
      <c r="C37" s="46"/>
      <c r="E37" s="47"/>
      <c r="F37" s="48"/>
      <c r="H37" s="49"/>
      <c r="L37" s="50"/>
      <c r="Z37" s="51"/>
    </row>
    <row r="38" ht="14.25" customHeight="1">
      <c r="C38" s="46"/>
      <c r="E38" s="47"/>
      <c r="F38" s="48"/>
      <c r="H38" s="49"/>
      <c r="L38" s="50"/>
      <c r="Z38" s="51"/>
    </row>
    <row r="39" ht="14.25" customHeight="1">
      <c r="C39" s="46"/>
      <c r="E39" s="47"/>
      <c r="F39" s="48"/>
      <c r="H39" s="49"/>
      <c r="L39" s="50"/>
      <c r="Z39" s="51"/>
    </row>
    <row r="40" ht="14.25" customHeight="1">
      <c r="C40" s="46"/>
      <c r="E40" s="47"/>
      <c r="F40" s="48"/>
      <c r="H40" s="49"/>
      <c r="L40" s="50"/>
      <c r="Z40" s="51"/>
    </row>
    <row r="41" ht="14.25" customHeight="1">
      <c r="C41" s="46"/>
      <c r="E41" s="47"/>
      <c r="F41" s="48"/>
      <c r="H41" s="49"/>
      <c r="L41" s="50"/>
      <c r="Z41" s="51"/>
    </row>
    <row r="42" ht="14.25" customHeight="1">
      <c r="C42" s="46"/>
      <c r="E42" s="47"/>
      <c r="F42" s="48"/>
      <c r="H42" s="49"/>
      <c r="L42" s="50"/>
      <c r="Z42" s="51"/>
    </row>
    <row r="43" ht="14.25" customHeight="1">
      <c r="C43" s="46"/>
      <c r="E43" s="47"/>
      <c r="F43" s="48"/>
      <c r="H43" s="49"/>
      <c r="L43" s="50"/>
      <c r="Z43" s="51"/>
    </row>
    <row r="44" ht="14.25" customHeight="1">
      <c r="C44" s="46"/>
      <c r="E44" s="47"/>
      <c r="F44" s="48"/>
      <c r="H44" s="49"/>
      <c r="L44" s="50"/>
      <c r="Z44" s="51"/>
    </row>
    <row r="45" ht="14.25" customHeight="1">
      <c r="C45" s="46"/>
      <c r="E45" s="47"/>
      <c r="F45" s="48"/>
      <c r="H45" s="49"/>
      <c r="L45" s="50"/>
      <c r="Z45" s="51"/>
    </row>
    <row r="46" ht="14.25" customHeight="1">
      <c r="C46" s="46"/>
      <c r="E46" s="47"/>
      <c r="F46" s="48"/>
      <c r="H46" s="49"/>
      <c r="L46" s="50"/>
      <c r="Z46" s="51"/>
    </row>
    <row r="47" ht="14.25" customHeight="1">
      <c r="C47" s="46"/>
      <c r="E47" s="47"/>
      <c r="F47" s="48"/>
      <c r="H47" s="49"/>
      <c r="L47" s="50"/>
      <c r="Z47" s="51"/>
    </row>
    <row r="48" ht="14.25" customHeight="1">
      <c r="C48" s="55"/>
      <c r="D48" s="56"/>
      <c r="E48" s="57"/>
      <c r="F48" s="48"/>
      <c r="H48" s="49"/>
      <c r="L48" s="50"/>
      <c r="Z48" s="51"/>
    </row>
    <row r="49" ht="14.25" customHeight="1">
      <c r="F49" s="48"/>
      <c r="H49" s="49"/>
      <c r="L49" s="50"/>
      <c r="Z49" s="51"/>
    </row>
    <row r="50" ht="14.25" customHeight="1">
      <c r="F50" s="48"/>
      <c r="H50" s="49"/>
      <c r="L50" s="50"/>
      <c r="Z50" s="51"/>
    </row>
    <row r="51" ht="14.25" customHeight="1">
      <c r="F51" s="48"/>
      <c r="H51" s="49"/>
      <c r="L51" s="50"/>
      <c r="Z51" s="51"/>
    </row>
    <row r="52" ht="14.25" customHeight="1">
      <c r="F52" s="48"/>
      <c r="H52" s="49"/>
      <c r="L52" s="50"/>
      <c r="Z52" s="51"/>
    </row>
    <row r="53" ht="14.25" customHeight="1">
      <c r="F53" s="48"/>
      <c r="H53" s="49"/>
      <c r="L53" s="50"/>
      <c r="Z53" s="51"/>
    </row>
    <row r="54" ht="14.25" customHeight="1">
      <c r="F54" s="48"/>
      <c r="H54" s="49"/>
      <c r="L54" s="50"/>
      <c r="Z54" s="51"/>
    </row>
    <row r="55" ht="14.25" customHeight="1">
      <c r="F55" s="48"/>
      <c r="H55" s="49"/>
      <c r="L55" s="50"/>
      <c r="Z55" s="51"/>
    </row>
    <row r="56" ht="14.25" customHeight="1">
      <c r="F56" s="48"/>
      <c r="H56" s="49"/>
      <c r="L56" s="50"/>
      <c r="Z56" s="51"/>
    </row>
    <row r="57" ht="14.25" customHeight="1">
      <c r="F57" s="58"/>
      <c r="G57" s="59"/>
      <c r="H57" s="60"/>
      <c r="L57" s="50"/>
      <c r="Z57" s="51"/>
    </row>
    <row r="58" ht="14.25" customHeight="1">
      <c r="L58" s="50"/>
      <c r="Z58" s="51"/>
    </row>
    <row r="59" ht="14.25" customHeight="1">
      <c r="L59" s="50"/>
      <c r="Z59" s="51"/>
    </row>
    <row r="60" ht="14.25" customHeight="1">
      <c r="L60" s="50"/>
      <c r="Z60" s="51"/>
    </row>
    <row r="61" ht="14.25" customHeight="1">
      <c r="L61" s="50"/>
      <c r="Z61" s="51"/>
    </row>
    <row r="62" ht="14.25" customHeight="1">
      <c r="L62" s="50"/>
      <c r="Z62" s="51"/>
    </row>
    <row r="63" ht="14.25" customHeight="1">
      <c r="L63" s="50"/>
      <c r="Z63" s="51"/>
    </row>
    <row r="64" ht="14.25" customHeight="1">
      <c r="L64" s="50"/>
      <c r="Z64" s="51"/>
    </row>
    <row r="65" ht="14.25" customHeight="1">
      <c r="L65" s="50"/>
      <c r="Z65" s="51"/>
    </row>
    <row r="66" ht="14.25" customHeight="1">
      <c r="L66" s="50"/>
      <c r="Z66" s="51"/>
    </row>
    <row r="67" ht="14.25" customHeight="1">
      <c r="L67" s="50"/>
      <c r="Z67" s="51"/>
    </row>
    <row r="68" ht="14.25" customHeight="1">
      <c r="L68" s="50"/>
      <c r="Z68" s="51"/>
    </row>
    <row r="69" ht="14.25" customHeight="1">
      <c r="L69" s="50"/>
      <c r="Z69" s="51"/>
    </row>
    <row r="70" ht="14.25" customHeight="1">
      <c r="L70" s="50"/>
      <c r="Z70" s="51"/>
    </row>
    <row r="71" ht="14.25" customHeight="1">
      <c r="L71" s="50"/>
      <c r="Z71" s="51"/>
    </row>
    <row r="72" ht="14.25" customHeight="1">
      <c r="L72" s="50"/>
      <c r="Z72" s="51"/>
    </row>
    <row r="73" ht="14.25" customHeight="1">
      <c r="L73" s="50"/>
      <c r="Z73" s="51"/>
    </row>
    <row r="74" ht="14.25" customHeight="1">
      <c r="L74" s="52"/>
      <c r="M74" s="53"/>
      <c r="N74" s="53"/>
      <c r="O74" s="53"/>
      <c r="P74" s="53"/>
      <c r="Q74" s="53"/>
      <c r="R74" s="53"/>
      <c r="S74" s="53"/>
      <c r="T74" s="53"/>
      <c r="U74" s="53"/>
      <c r="V74" s="53"/>
      <c r="W74" s="53"/>
      <c r="X74" s="53"/>
      <c r="Y74" s="53"/>
      <c r="Z74" s="54"/>
    </row>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sheetData>
  <mergeCells count="16">
    <mergeCell ref="L2:N2"/>
    <mergeCell ref="O2:Q2"/>
    <mergeCell ref="C27:E48"/>
    <mergeCell ref="F27:H57"/>
    <mergeCell ref="I27:K36"/>
    <mergeCell ref="L27:Z74"/>
    <mergeCell ref="R2:T2"/>
    <mergeCell ref="U2:W2"/>
    <mergeCell ref="C1:E1"/>
    <mergeCell ref="F1:H1"/>
    <mergeCell ref="I1:Z1"/>
    <mergeCell ref="AA1:AA2"/>
    <mergeCell ref="C2:E2"/>
    <mergeCell ref="F2:H2"/>
    <mergeCell ref="I2:K2"/>
    <mergeCell ref="X2:Z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8"/>
    <col customWidth="1" min="2" max="2" width="19.63"/>
    <col customWidth="1" min="3" max="3" width="6.38"/>
    <col customWidth="1" min="4" max="4" width="9.38"/>
    <col customWidth="1" min="5" max="5" width="7.25"/>
    <col customWidth="1" min="6" max="6" width="9.38"/>
    <col customWidth="1" min="7" max="7" width="9.13"/>
    <col customWidth="1" min="8" max="8" width="6.88"/>
    <col customWidth="1" min="9" max="9" width="9.38"/>
    <col customWidth="1" min="10" max="10" width="9.13"/>
    <col customWidth="1" min="11" max="11" width="7.0"/>
    <col customWidth="1" min="12" max="12" width="9.38"/>
    <col customWidth="1" min="13" max="13" width="8.88"/>
    <col customWidth="1" min="14" max="14" width="8.75"/>
    <col customWidth="1" min="15" max="15" width="9.38"/>
    <col customWidth="1" min="16" max="16" width="8.88"/>
    <col customWidth="1" min="17" max="18" width="9.38"/>
    <col customWidth="1" min="19" max="19" width="8.88"/>
    <col customWidth="1" min="20" max="21" width="9.38"/>
    <col customWidth="1" min="22" max="22" width="9.13"/>
    <col customWidth="1" min="23" max="24" width="9.38"/>
    <col customWidth="1" min="25" max="25" width="9.13"/>
    <col customWidth="1" min="26" max="33" width="9.38"/>
  </cols>
  <sheetData>
    <row r="2" ht="15.0" customHeight="1">
      <c r="B2" s="61" t="s">
        <v>43</v>
      </c>
      <c r="C2" s="62"/>
      <c r="D2" s="62"/>
      <c r="E2" s="62"/>
      <c r="F2" s="62"/>
      <c r="G2" s="62"/>
      <c r="H2" s="62"/>
      <c r="I2" s="62"/>
      <c r="J2" s="62"/>
      <c r="K2" s="62"/>
      <c r="L2" s="62"/>
      <c r="M2" s="62"/>
      <c r="N2" s="62"/>
      <c r="O2" s="62"/>
      <c r="P2" s="62"/>
      <c r="Q2" s="62"/>
      <c r="R2" s="62"/>
      <c r="S2" s="62"/>
      <c r="T2" s="62"/>
      <c r="U2" s="62"/>
      <c r="V2" s="62"/>
      <c r="W2" s="62"/>
      <c r="X2" s="62"/>
      <c r="Y2" s="62"/>
      <c r="Z2" s="62"/>
      <c r="AA2" s="62"/>
      <c r="AB2" s="63"/>
      <c r="AC2" s="64"/>
      <c r="AD2" s="64"/>
      <c r="AE2" s="64"/>
      <c r="AF2" s="64"/>
      <c r="AG2" s="64"/>
    </row>
    <row r="3" ht="14.25" customHeight="1">
      <c r="B3" s="1" t="s">
        <v>0</v>
      </c>
      <c r="C3" s="2"/>
      <c r="D3" s="3" t="s">
        <v>1</v>
      </c>
      <c r="E3" s="4"/>
      <c r="F3" s="5"/>
      <c r="G3" s="6" t="s">
        <v>2</v>
      </c>
      <c r="H3" s="4"/>
      <c r="I3" s="5"/>
      <c r="J3" s="7" t="s">
        <v>3</v>
      </c>
      <c r="K3" s="4"/>
      <c r="L3" s="4"/>
      <c r="M3" s="4"/>
      <c r="N3" s="4"/>
      <c r="O3" s="4"/>
      <c r="P3" s="4"/>
      <c r="Q3" s="4"/>
      <c r="R3" s="4"/>
      <c r="S3" s="4"/>
      <c r="T3" s="4"/>
      <c r="U3" s="4"/>
      <c r="V3" s="4"/>
      <c r="W3" s="4"/>
      <c r="X3" s="4"/>
      <c r="Y3" s="4"/>
      <c r="Z3" s="4"/>
      <c r="AA3" s="5"/>
      <c r="AB3" s="8" t="s">
        <v>4</v>
      </c>
      <c r="AC3" s="65"/>
      <c r="AD3" s="65"/>
      <c r="AE3" s="65"/>
      <c r="AF3" s="65"/>
      <c r="AG3" s="65"/>
    </row>
    <row r="4" ht="14.25" customHeight="1">
      <c r="B4" s="9"/>
      <c r="C4" s="9"/>
      <c r="D4" s="10" t="s">
        <v>5</v>
      </c>
      <c r="E4" s="4"/>
      <c r="F4" s="5"/>
      <c r="G4" s="11" t="s">
        <v>6</v>
      </c>
      <c r="H4" s="4"/>
      <c r="I4" s="5"/>
      <c r="J4" s="12" t="s">
        <v>7</v>
      </c>
      <c r="K4" s="4"/>
      <c r="L4" s="5"/>
      <c r="M4" s="12" t="s">
        <v>8</v>
      </c>
      <c r="N4" s="4"/>
      <c r="O4" s="5"/>
      <c r="P4" s="12" t="s">
        <v>9</v>
      </c>
      <c r="Q4" s="4"/>
      <c r="R4" s="5"/>
      <c r="S4" s="12" t="s">
        <v>10</v>
      </c>
      <c r="T4" s="4"/>
      <c r="U4" s="5"/>
      <c r="V4" s="12" t="s">
        <v>11</v>
      </c>
      <c r="W4" s="4"/>
      <c r="X4" s="5"/>
      <c r="Y4" s="12" t="s">
        <v>12</v>
      </c>
      <c r="Z4" s="4"/>
      <c r="AA4" s="5"/>
      <c r="AB4" s="13"/>
      <c r="AC4" s="65"/>
      <c r="AD4" s="65"/>
      <c r="AE4" s="65"/>
      <c r="AF4" s="65"/>
      <c r="AG4" s="65"/>
    </row>
    <row r="5" ht="14.25" customHeight="1">
      <c r="B5" s="14"/>
      <c r="C5" s="15" t="s">
        <v>13</v>
      </c>
      <c r="D5" s="15" t="s">
        <v>14</v>
      </c>
      <c r="E5" s="15" t="s">
        <v>15</v>
      </c>
      <c r="F5" s="15" t="s">
        <v>16</v>
      </c>
      <c r="G5" s="15" t="s">
        <v>14</v>
      </c>
      <c r="H5" s="15" t="s">
        <v>15</v>
      </c>
      <c r="I5" s="15" t="s">
        <v>16</v>
      </c>
      <c r="J5" s="15" t="s">
        <v>14</v>
      </c>
      <c r="K5" s="15" t="s">
        <v>15</v>
      </c>
      <c r="L5" s="15" t="s">
        <v>16</v>
      </c>
      <c r="M5" s="15" t="s">
        <v>14</v>
      </c>
      <c r="N5" s="15" t="s">
        <v>15</v>
      </c>
      <c r="O5" s="15" t="s">
        <v>16</v>
      </c>
      <c r="P5" s="15" t="s">
        <v>14</v>
      </c>
      <c r="Q5" s="15" t="s">
        <v>15</v>
      </c>
      <c r="R5" s="15" t="s">
        <v>16</v>
      </c>
      <c r="S5" s="15" t="s">
        <v>14</v>
      </c>
      <c r="T5" s="15" t="s">
        <v>15</v>
      </c>
      <c r="U5" s="15" t="s">
        <v>16</v>
      </c>
      <c r="V5" s="15" t="s">
        <v>14</v>
      </c>
      <c r="W5" s="15" t="s">
        <v>15</v>
      </c>
      <c r="X5" s="15" t="s">
        <v>16</v>
      </c>
      <c r="Y5" s="15" t="s">
        <v>14</v>
      </c>
      <c r="Z5" s="15" t="s">
        <v>15</v>
      </c>
      <c r="AA5" s="15" t="s">
        <v>16</v>
      </c>
      <c r="AB5" s="15" t="s">
        <v>16</v>
      </c>
      <c r="AC5" s="14"/>
      <c r="AD5" s="14"/>
      <c r="AE5" s="14"/>
      <c r="AF5" s="14"/>
      <c r="AG5" s="14"/>
    </row>
    <row r="6" ht="14.25" customHeight="1">
      <c r="B6" s="16" t="s">
        <v>17</v>
      </c>
      <c r="D6" s="17"/>
      <c r="F6" s="19"/>
      <c r="I6" s="19"/>
      <c r="K6" s="20"/>
      <c r="L6" s="19"/>
      <c r="O6" s="19"/>
      <c r="Q6" s="20"/>
      <c r="R6" s="19"/>
      <c r="T6" s="20"/>
      <c r="U6" s="19"/>
      <c r="W6" s="20"/>
      <c r="X6" s="19"/>
      <c r="Y6" s="21"/>
      <c r="AB6" s="22"/>
      <c r="AC6" s="20"/>
      <c r="AD6" s="20"/>
      <c r="AE6" s="20"/>
      <c r="AF6" s="20"/>
      <c r="AG6" s="20"/>
    </row>
    <row r="7" ht="14.25" customHeight="1">
      <c r="B7" s="23" t="s">
        <v>44</v>
      </c>
      <c r="C7" s="20" t="s">
        <v>19</v>
      </c>
      <c r="D7" s="17">
        <v>0.824</v>
      </c>
      <c r="E7" s="20">
        <v>1.15028</v>
      </c>
      <c r="F7" s="19">
        <f t="shared" ref="F7:F14" si="1">E7*D7</f>
        <v>0.94783072</v>
      </c>
      <c r="I7" s="19"/>
      <c r="K7" s="20">
        <v>0.0</v>
      </c>
      <c r="L7" s="19">
        <v>0.0</v>
      </c>
      <c r="M7" s="20">
        <v>-0.412</v>
      </c>
      <c r="N7" s="20">
        <f t="shared" ref="N7:N8" si="2">E7*0.25</f>
        <v>0.28757</v>
      </c>
      <c r="O7" s="19">
        <f t="shared" ref="O7:O14" si="3">M7*N7</f>
        <v>-0.11847884</v>
      </c>
      <c r="P7" s="20">
        <v>0.073</v>
      </c>
      <c r="Q7" s="20">
        <f>E7*0.35</f>
        <v>0.402598</v>
      </c>
      <c r="R7" s="19">
        <f t="shared" ref="R7:R14" si="4">Q7*P7</f>
        <v>0.029389654</v>
      </c>
      <c r="S7" s="20">
        <v>0.198</v>
      </c>
      <c r="T7" s="20">
        <f t="shared" ref="T7:T8" si="5">0.15*E7</f>
        <v>0.172542</v>
      </c>
      <c r="U7" s="19">
        <f t="shared" ref="U7:U14" si="6">S7*T7</f>
        <v>0.034163316</v>
      </c>
      <c r="V7" s="20">
        <v>0.038</v>
      </c>
      <c r="W7" s="20">
        <f>0.15*E7</f>
        <v>0.172542</v>
      </c>
      <c r="X7" s="19">
        <f t="shared" ref="X7:X14" si="7">W7*V7</f>
        <v>0.006556596</v>
      </c>
      <c r="Y7" s="66">
        <v>0.04</v>
      </c>
      <c r="Z7" s="20">
        <f>0.1*E7</f>
        <v>0.115028</v>
      </c>
      <c r="AA7" s="20">
        <f>Z7*Y7</f>
        <v>0.00460112</v>
      </c>
      <c r="AB7" s="22">
        <f t="shared" ref="AB7:AB32" si="8">F7+L7+I7+O7+R7+U7+X7+AA7</f>
        <v>0.904062566</v>
      </c>
      <c r="AC7" s="20"/>
      <c r="AD7" s="20"/>
      <c r="AE7" s="20"/>
      <c r="AF7" s="20"/>
      <c r="AG7" s="20"/>
    </row>
    <row r="8" ht="14.25" customHeight="1">
      <c r="B8" s="24" t="s">
        <v>45</v>
      </c>
      <c r="C8" s="20" t="s">
        <v>19</v>
      </c>
      <c r="D8" s="17">
        <v>0.959</v>
      </c>
      <c r="E8" s="20">
        <v>0.1</v>
      </c>
      <c r="F8" s="19">
        <f t="shared" si="1"/>
        <v>0.0959</v>
      </c>
      <c r="I8" s="19"/>
      <c r="K8" s="20">
        <v>0.0</v>
      </c>
      <c r="L8" s="19">
        <v>0.0</v>
      </c>
      <c r="M8" s="20">
        <v>-0.479</v>
      </c>
      <c r="N8" s="20">
        <f t="shared" si="2"/>
        <v>0.025</v>
      </c>
      <c r="O8" s="19">
        <f t="shared" si="3"/>
        <v>-0.011975</v>
      </c>
      <c r="P8" s="20">
        <v>0.008</v>
      </c>
      <c r="Q8" s="20">
        <f>E8*0.15</f>
        <v>0.015</v>
      </c>
      <c r="R8" s="19">
        <f t="shared" si="4"/>
        <v>0.00012</v>
      </c>
      <c r="S8" s="20">
        <v>0.423</v>
      </c>
      <c r="T8" s="20">
        <f t="shared" si="5"/>
        <v>0.015</v>
      </c>
      <c r="U8" s="19">
        <f t="shared" si="6"/>
        <v>0.006345</v>
      </c>
      <c r="V8" s="20">
        <v>0.191</v>
      </c>
      <c r="W8" s="20">
        <f>0.2*E8</f>
        <v>0.02</v>
      </c>
      <c r="X8" s="19">
        <f t="shared" si="7"/>
        <v>0.00382</v>
      </c>
      <c r="Y8" s="20">
        <v>0.04</v>
      </c>
      <c r="Z8" s="20">
        <f>0.25*E8</f>
        <v>0.025</v>
      </c>
      <c r="AB8" s="22">
        <f t="shared" si="8"/>
        <v>0.09421</v>
      </c>
      <c r="AC8" s="20"/>
      <c r="AD8" s="20"/>
      <c r="AE8" s="20"/>
      <c r="AF8" s="20"/>
      <c r="AG8" s="20"/>
    </row>
    <row r="9" ht="14.25" customHeight="1">
      <c r="B9" s="24" t="s">
        <v>46</v>
      </c>
      <c r="C9" s="20" t="s">
        <v>19</v>
      </c>
      <c r="D9" s="17">
        <v>1.748</v>
      </c>
      <c r="E9" s="20">
        <v>0.1</v>
      </c>
      <c r="F9" s="19">
        <f t="shared" si="1"/>
        <v>0.1748</v>
      </c>
      <c r="I9" s="19"/>
      <c r="K9" s="20">
        <v>0.0</v>
      </c>
      <c r="L9" s="19">
        <v>0.0</v>
      </c>
      <c r="M9" s="20">
        <v>-0.946</v>
      </c>
      <c r="N9" s="20">
        <f>E9*0.8</f>
        <v>0.08</v>
      </c>
      <c r="O9" s="19">
        <f t="shared" si="3"/>
        <v>-0.07568</v>
      </c>
      <c r="P9" s="20">
        <v>0.0</v>
      </c>
      <c r="Q9" s="20">
        <f t="shared" ref="Q9:Q10" si="9">E9*0.05</f>
        <v>0.005</v>
      </c>
      <c r="R9" s="19">
        <f t="shared" si="4"/>
        <v>0</v>
      </c>
      <c r="S9" s="20">
        <v>0.0</v>
      </c>
      <c r="T9" s="20">
        <f>0*E9</f>
        <v>0</v>
      </c>
      <c r="U9" s="19">
        <f t="shared" si="6"/>
        <v>0</v>
      </c>
      <c r="V9" s="67">
        <v>1.05E-6</v>
      </c>
      <c r="W9" s="20">
        <f>0.15*E9</f>
        <v>0.015</v>
      </c>
      <c r="X9" s="68">
        <f t="shared" si="7"/>
        <v>0.00000001575</v>
      </c>
      <c r="AB9" s="69">
        <f t="shared" si="8"/>
        <v>0.09912001575</v>
      </c>
      <c r="AC9" s="67"/>
      <c r="AD9" s="67"/>
      <c r="AE9" s="67"/>
      <c r="AF9" s="67"/>
      <c r="AG9" s="67"/>
    </row>
    <row r="10" ht="14.25" customHeight="1">
      <c r="B10" s="24" t="s">
        <v>47</v>
      </c>
      <c r="C10" s="25" t="s">
        <v>19</v>
      </c>
      <c r="D10" s="17">
        <v>0.2</v>
      </c>
      <c r="E10" s="20">
        <v>0.002</v>
      </c>
      <c r="F10" s="19">
        <f t="shared" si="1"/>
        <v>0.0004</v>
      </c>
      <c r="I10" s="19"/>
      <c r="K10" s="20">
        <v>0.0</v>
      </c>
      <c r="L10" s="19">
        <v>0.0</v>
      </c>
      <c r="M10" s="20">
        <v>0.0</v>
      </c>
      <c r="N10" s="20">
        <f>E10*0.1</f>
        <v>0.0002</v>
      </c>
      <c r="O10" s="19">
        <f t="shared" si="3"/>
        <v>0</v>
      </c>
      <c r="P10" s="20">
        <v>0.0</v>
      </c>
      <c r="Q10" s="20">
        <f t="shared" si="9"/>
        <v>0.0001</v>
      </c>
      <c r="R10" s="19">
        <f t="shared" si="4"/>
        <v>0</v>
      </c>
      <c r="S10" s="20">
        <v>0.0</v>
      </c>
      <c r="T10" s="20">
        <f t="shared" ref="T10:T14" si="10">0.15*E10</f>
        <v>0.0003</v>
      </c>
      <c r="U10" s="19">
        <f t="shared" si="6"/>
        <v>0</v>
      </c>
      <c r="V10" s="20">
        <v>2.28E-4</v>
      </c>
      <c r="W10" s="20">
        <f>0.45*E10</f>
        <v>0.0009</v>
      </c>
      <c r="X10" s="19">
        <f t="shared" si="7"/>
        <v>0.0000002052</v>
      </c>
      <c r="Y10" s="20">
        <v>0.0</v>
      </c>
      <c r="Z10" s="20">
        <f>0.25*E10</f>
        <v>0.0005</v>
      </c>
      <c r="AA10" s="20">
        <f t="shared" ref="AA10:AA14" si="11">Y10*Z10</f>
        <v>0</v>
      </c>
      <c r="AB10" s="22">
        <f t="shared" si="8"/>
        <v>0.0004002052</v>
      </c>
      <c r="AC10" s="20"/>
      <c r="AD10" s="20"/>
      <c r="AE10" s="20"/>
      <c r="AF10" s="20"/>
      <c r="AG10" s="20"/>
    </row>
    <row r="11" ht="14.25" customHeight="1">
      <c r="B11" s="24" t="s">
        <v>21</v>
      </c>
      <c r="C11" s="25" t="s">
        <v>19</v>
      </c>
      <c r="D11" s="17">
        <v>1.21</v>
      </c>
      <c r="E11" s="20">
        <v>0.051</v>
      </c>
      <c r="F11" s="19">
        <f t="shared" si="1"/>
        <v>0.06171</v>
      </c>
      <c r="I11" s="19"/>
      <c r="K11" s="20">
        <v>0.0</v>
      </c>
      <c r="L11" s="19">
        <v>0.0</v>
      </c>
      <c r="M11" s="20">
        <v>-1.18</v>
      </c>
      <c r="N11" s="20">
        <f>E11*0.3</f>
        <v>0.0153</v>
      </c>
      <c r="O11" s="19">
        <f t="shared" si="3"/>
        <v>-0.018054</v>
      </c>
      <c r="P11" s="20">
        <v>0.0</v>
      </c>
      <c r="Q11" s="20">
        <f>E11*0.1</f>
        <v>0.0051</v>
      </c>
      <c r="R11" s="19">
        <f t="shared" si="4"/>
        <v>0</v>
      </c>
      <c r="S11" s="20">
        <v>0.0</v>
      </c>
      <c r="T11" s="20">
        <f t="shared" si="10"/>
        <v>0.00765</v>
      </c>
      <c r="U11" s="19">
        <f t="shared" si="6"/>
        <v>0</v>
      </c>
      <c r="V11" s="67">
        <v>4.21E-7</v>
      </c>
      <c r="W11" s="20">
        <f>0.3*E11</f>
        <v>0.0153</v>
      </c>
      <c r="X11" s="68">
        <f t="shared" si="7"/>
        <v>0.0000000064413</v>
      </c>
      <c r="Y11" s="20">
        <v>0.0</v>
      </c>
      <c r="Z11" s="20">
        <f>0.15*E11</f>
        <v>0.00765</v>
      </c>
      <c r="AA11" s="20">
        <f t="shared" si="11"/>
        <v>0</v>
      </c>
      <c r="AB11" s="69">
        <f t="shared" si="8"/>
        <v>0.04365600644</v>
      </c>
      <c r="AC11" s="67"/>
      <c r="AD11" s="67"/>
      <c r="AE11" s="67"/>
      <c r="AF11" s="67"/>
      <c r="AG11" s="67"/>
    </row>
    <row r="12" ht="14.25" customHeight="1">
      <c r="B12" s="26" t="s">
        <v>48</v>
      </c>
      <c r="C12" s="20" t="s">
        <v>19</v>
      </c>
      <c r="D12" s="17">
        <v>0.279</v>
      </c>
      <c r="E12" s="20">
        <v>0.16</v>
      </c>
      <c r="F12" s="19">
        <f t="shared" si="1"/>
        <v>0.04464</v>
      </c>
      <c r="I12" s="19"/>
      <c r="K12" s="20">
        <v>0.0</v>
      </c>
      <c r="L12" s="19">
        <v>0.0</v>
      </c>
      <c r="M12" s="20">
        <v>-0.223</v>
      </c>
      <c r="N12" s="20">
        <f>E12*0.25</f>
        <v>0.04</v>
      </c>
      <c r="O12" s="19">
        <f t="shared" si="3"/>
        <v>-0.00892</v>
      </c>
      <c r="P12" s="20">
        <v>0.0</v>
      </c>
      <c r="Q12" s="20">
        <f t="shared" ref="Q12:Q13" si="12">E12*0.3</f>
        <v>0.048</v>
      </c>
      <c r="R12" s="19">
        <f t="shared" si="4"/>
        <v>0</v>
      </c>
      <c r="S12" s="20">
        <v>0.0</v>
      </c>
      <c r="T12" s="20">
        <f t="shared" si="10"/>
        <v>0.024</v>
      </c>
      <c r="U12" s="19">
        <f t="shared" si="6"/>
        <v>0</v>
      </c>
      <c r="V12" s="67">
        <v>2.11E-6</v>
      </c>
      <c r="W12" s="20">
        <f>0.2*E12</f>
        <v>0.032</v>
      </c>
      <c r="X12" s="68">
        <f t="shared" si="7"/>
        <v>0.00000006752</v>
      </c>
      <c r="Y12" s="20">
        <v>0.0</v>
      </c>
      <c r="Z12" s="20">
        <f>0.1*E12</f>
        <v>0.016</v>
      </c>
      <c r="AA12" s="20">
        <f t="shared" si="11"/>
        <v>0</v>
      </c>
      <c r="AB12" s="69">
        <f t="shared" si="8"/>
        <v>0.03572006752</v>
      </c>
      <c r="AC12" s="67"/>
      <c r="AD12" s="67"/>
      <c r="AE12" s="67"/>
      <c r="AF12" s="67"/>
      <c r="AG12" s="67"/>
    </row>
    <row r="13" ht="14.25" customHeight="1">
      <c r="B13" s="26" t="s">
        <v>49</v>
      </c>
      <c r="C13" s="20" t="s">
        <v>19</v>
      </c>
      <c r="D13" s="17">
        <v>0.773</v>
      </c>
      <c r="E13" s="20">
        <v>0.105868</v>
      </c>
      <c r="F13" s="19">
        <f t="shared" si="1"/>
        <v>0.081835964</v>
      </c>
      <c r="I13" s="19"/>
      <c r="K13" s="20">
        <v>0.0</v>
      </c>
      <c r="L13" s="19">
        <v>0.0</v>
      </c>
      <c r="M13" s="20">
        <v>-0.387</v>
      </c>
      <c r="N13" s="20">
        <f>E13*0.05</f>
        <v>0.0052934</v>
      </c>
      <c r="O13" s="19">
        <f t="shared" si="3"/>
        <v>-0.0020485458</v>
      </c>
      <c r="P13" s="20">
        <v>0.128</v>
      </c>
      <c r="Q13" s="20">
        <f t="shared" si="12"/>
        <v>0.0317604</v>
      </c>
      <c r="R13" s="19">
        <f t="shared" si="4"/>
        <v>0.0040653312</v>
      </c>
      <c r="S13" s="20">
        <v>0.282</v>
      </c>
      <c r="T13" s="20">
        <f t="shared" si="10"/>
        <v>0.0158802</v>
      </c>
      <c r="U13" s="19">
        <f t="shared" si="6"/>
        <v>0.0044782164</v>
      </c>
      <c r="V13" s="20">
        <v>0.038</v>
      </c>
      <c r="W13" s="20">
        <f t="shared" ref="W13:W14" si="13">0.3*E13</f>
        <v>0.0317604</v>
      </c>
      <c r="X13" s="19">
        <f t="shared" si="7"/>
        <v>0.0012068952</v>
      </c>
      <c r="Y13" s="20">
        <v>0.001</v>
      </c>
      <c r="Z13" s="20">
        <f t="shared" ref="Z13:Z14" si="14">0.2*E13</f>
        <v>0.0211736</v>
      </c>
      <c r="AA13" s="20">
        <f t="shared" si="11"/>
        <v>0.0000211736</v>
      </c>
      <c r="AB13" s="22">
        <f t="shared" si="8"/>
        <v>0.0895590346</v>
      </c>
      <c r="AC13" s="20"/>
      <c r="AD13" s="20"/>
      <c r="AE13" s="20"/>
      <c r="AF13" s="20"/>
      <c r="AG13" s="20"/>
    </row>
    <row r="14" ht="14.25" customHeight="1">
      <c r="B14" s="26" t="s">
        <v>50</v>
      </c>
      <c r="C14" s="20" t="s">
        <v>19</v>
      </c>
      <c r="D14" s="17">
        <v>33.11</v>
      </c>
      <c r="E14" s="20">
        <v>0.15</v>
      </c>
      <c r="F14" s="19">
        <f t="shared" si="1"/>
        <v>4.9665</v>
      </c>
      <c r="I14" s="19"/>
      <c r="K14" s="20">
        <v>0.0</v>
      </c>
      <c r="L14" s="19">
        <v>0.0</v>
      </c>
      <c r="M14" s="20">
        <v>-30.47</v>
      </c>
      <c r="N14" s="20">
        <f>E14*0.1</f>
        <v>0.015</v>
      </c>
      <c r="O14" s="19">
        <f t="shared" si="3"/>
        <v>-0.45705</v>
      </c>
      <c r="P14" s="20">
        <v>0.0</v>
      </c>
      <c r="Q14" s="20">
        <f>E14*0.25</f>
        <v>0.0375</v>
      </c>
      <c r="R14" s="19">
        <f t="shared" si="4"/>
        <v>0</v>
      </c>
      <c r="S14" s="20">
        <v>0.0</v>
      </c>
      <c r="T14" s="20">
        <f t="shared" si="10"/>
        <v>0.0225</v>
      </c>
      <c r="U14" s="19">
        <f t="shared" si="6"/>
        <v>0</v>
      </c>
      <c r="V14" s="67">
        <v>6.32E-7</v>
      </c>
      <c r="W14" s="20">
        <f t="shared" si="13"/>
        <v>0.045</v>
      </c>
      <c r="X14" s="68">
        <f t="shared" si="7"/>
        <v>0.00000002844</v>
      </c>
      <c r="Y14" s="20">
        <v>0.0</v>
      </c>
      <c r="Z14" s="20">
        <f t="shared" si="14"/>
        <v>0.03</v>
      </c>
      <c r="AA14" s="20">
        <f t="shared" si="11"/>
        <v>0</v>
      </c>
      <c r="AB14" s="69">
        <f t="shared" si="8"/>
        <v>4.509450028</v>
      </c>
      <c r="AC14" s="67"/>
      <c r="AD14" s="67"/>
      <c r="AE14" s="67"/>
      <c r="AF14" s="67"/>
      <c r="AG14" s="67"/>
    </row>
    <row r="15" ht="14.25" customHeight="1">
      <c r="B15" s="70" t="s">
        <v>51</v>
      </c>
      <c r="C15" s="71" t="s">
        <v>19</v>
      </c>
      <c r="D15" s="17">
        <v>0.308</v>
      </c>
      <c r="E15" s="20">
        <v>1.46</v>
      </c>
      <c r="F15" s="19">
        <f>D15*E15</f>
        <v>0.44968</v>
      </c>
      <c r="G15" s="71"/>
      <c r="H15" s="71"/>
      <c r="I15" s="72"/>
      <c r="J15" s="71"/>
      <c r="K15" s="71"/>
      <c r="L15" s="72"/>
      <c r="M15" s="71">
        <v>-0.061</v>
      </c>
      <c r="N15" s="71">
        <f>0.22*E15</f>
        <v>0.3212</v>
      </c>
      <c r="O15" s="72"/>
      <c r="P15" s="71">
        <v>-0.0412</v>
      </c>
      <c r="Q15" s="71">
        <f>0.22*E15</f>
        <v>0.3212</v>
      </c>
      <c r="R15" s="72"/>
      <c r="S15" s="71">
        <v>0.0249</v>
      </c>
      <c r="T15" s="71">
        <f>0.22*E15</f>
        <v>0.3212</v>
      </c>
      <c r="U15" s="72"/>
      <c r="V15" s="71">
        <v>0.545</v>
      </c>
      <c r="W15" s="71">
        <f>0.22*E15</f>
        <v>0.3212</v>
      </c>
      <c r="X15" s="72"/>
      <c r="Y15" s="71">
        <v>0.0</v>
      </c>
      <c r="Z15" s="71">
        <f>0.12*E15</f>
        <v>0.1752</v>
      </c>
      <c r="AA15" s="71">
        <v>0.0</v>
      </c>
      <c r="AB15" s="73">
        <f t="shared" si="8"/>
        <v>0.44968</v>
      </c>
      <c r="AC15" s="71"/>
      <c r="AD15" s="71"/>
      <c r="AE15" s="71"/>
      <c r="AF15" s="71"/>
      <c r="AG15" s="71"/>
    </row>
    <row r="16" ht="14.25" customHeight="1">
      <c r="B16" s="18"/>
      <c r="D16" s="17"/>
      <c r="F16" s="19"/>
      <c r="I16" s="19"/>
      <c r="L16" s="19"/>
      <c r="O16" s="19"/>
      <c r="R16" s="19"/>
      <c r="U16" s="19"/>
      <c r="X16" s="19"/>
      <c r="AB16" s="22">
        <f t="shared" si="8"/>
        <v>0</v>
      </c>
      <c r="AC16" s="20"/>
      <c r="AD16" s="20"/>
      <c r="AE16" s="20"/>
      <c r="AF16" s="20"/>
      <c r="AG16" s="20"/>
    </row>
    <row r="17" ht="14.25" customHeight="1">
      <c r="B17" s="27" t="s">
        <v>26</v>
      </c>
      <c r="D17" s="17"/>
      <c r="F17" s="19"/>
      <c r="I17" s="19"/>
      <c r="L17" s="19"/>
      <c r="O17" s="19"/>
      <c r="R17" s="19"/>
      <c r="U17" s="19"/>
      <c r="X17" s="19"/>
      <c r="AB17" s="22">
        <f t="shared" si="8"/>
        <v>0</v>
      </c>
      <c r="AC17" s="20"/>
      <c r="AD17" s="20"/>
      <c r="AE17" s="20"/>
      <c r="AF17" s="20"/>
      <c r="AG17" s="20"/>
    </row>
    <row r="18" ht="14.25" customHeight="1">
      <c r="B18" s="26" t="s">
        <v>27</v>
      </c>
      <c r="C18" s="20" t="s">
        <v>19</v>
      </c>
      <c r="D18" s="17">
        <v>0.0658</v>
      </c>
      <c r="E18" s="20">
        <v>1.05507</v>
      </c>
      <c r="F18" s="19">
        <f t="shared" ref="F18:F21" si="15">D18*E18</f>
        <v>0.069423606</v>
      </c>
      <c r="I18" s="19"/>
      <c r="L18" s="19"/>
      <c r="O18" s="19"/>
      <c r="R18" s="19"/>
      <c r="U18" s="19"/>
      <c r="X18" s="19"/>
      <c r="AB18" s="22">
        <f t="shared" si="8"/>
        <v>0.069423606</v>
      </c>
      <c r="AC18" s="20"/>
      <c r="AD18" s="20"/>
      <c r="AE18" s="20"/>
      <c r="AF18" s="20"/>
      <c r="AG18" s="20"/>
    </row>
    <row r="19" ht="14.25" customHeight="1">
      <c r="B19" s="26" t="s">
        <v>52</v>
      </c>
      <c r="C19" s="20" t="s">
        <v>19</v>
      </c>
      <c r="D19" s="17">
        <v>0.0274</v>
      </c>
      <c r="E19" s="20">
        <v>0.15</v>
      </c>
      <c r="F19" s="19">
        <f t="shared" si="15"/>
        <v>0.00411</v>
      </c>
      <c r="I19" s="19"/>
      <c r="L19" s="19"/>
      <c r="O19" s="19"/>
      <c r="R19" s="19"/>
      <c r="U19" s="19"/>
      <c r="X19" s="19"/>
      <c r="AB19" s="22">
        <f t="shared" si="8"/>
        <v>0.00411</v>
      </c>
      <c r="AC19" s="20"/>
      <c r="AD19" s="20"/>
      <c r="AE19" s="20"/>
      <c r="AF19" s="20"/>
      <c r="AG19" s="20"/>
    </row>
    <row r="20" ht="14.25" customHeight="1">
      <c r="B20" s="26" t="s">
        <v>53</v>
      </c>
      <c r="C20" s="20" t="s">
        <v>19</v>
      </c>
      <c r="D20" s="74">
        <v>0.0274</v>
      </c>
      <c r="E20" s="75">
        <v>0.001</v>
      </c>
      <c r="F20" s="76">
        <f t="shared" si="15"/>
        <v>0.0000274</v>
      </c>
      <c r="I20" s="19"/>
      <c r="L20" s="19"/>
      <c r="O20" s="19"/>
      <c r="R20" s="19"/>
      <c r="U20" s="19"/>
      <c r="X20" s="19"/>
      <c r="AB20" s="22">
        <f t="shared" si="8"/>
        <v>0.0000274</v>
      </c>
      <c r="AC20" s="20"/>
      <c r="AD20" s="20"/>
      <c r="AE20" s="20"/>
      <c r="AF20" s="20"/>
      <c r="AG20" s="20"/>
    </row>
    <row r="21" ht="14.25" customHeight="1">
      <c r="B21" s="26" t="s">
        <v>54</v>
      </c>
      <c r="C21" s="20" t="s">
        <v>19</v>
      </c>
      <c r="D21" s="17">
        <v>0.0658</v>
      </c>
      <c r="E21" s="20">
        <v>0.20851</v>
      </c>
      <c r="F21" s="19">
        <f t="shared" si="15"/>
        <v>0.013719958</v>
      </c>
      <c r="I21" s="19"/>
      <c r="L21" s="19"/>
      <c r="O21" s="19"/>
      <c r="R21" s="19"/>
      <c r="U21" s="19"/>
      <c r="X21" s="19"/>
      <c r="AB21" s="22">
        <f t="shared" si="8"/>
        <v>0.013719958</v>
      </c>
      <c r="AC21" s="20"/>
      <c r="AD21" s="20"/>
      <c r="AE21" s="20"/>
      <c r="AF21" s="20"/>
      <c r="AG21" s="20"/>
    </row>
    <row r="22" ht="14.25" customHeight="1">
      <c r="B22" s="26" t="s">
        <v>55</v>
      </c>
      <c r="C22" s="20" t="s">
        <v>19</v>
      </c>
      <c r="D22" s="17">
        <v>0.0658</v>
      </c>
      <c r="E22" s="20">
        <v>0.1</v>
      </c>
      <c r="F22" s="19"/>
      <c r="I22" s="19"/>
      <c r="L22" s="19"/>
      <c r="O22" s="19"/>
      <c r="R22" s="19"/>
      <c r="U22" s="19"/>
      <c r="X22" s="19"/>
      <c r="AB22" s="22">
        <f t="shared" si="8"/>
        <v>0</v>
      </c>
      <c r="AC22" s="20"/>
      <c r="AD22" s="20"/>
      <c r="AE22" s="20"/>
      <c r="AF22" s="20"/>
      <c r="AG22" s="20"/>
    </row>
    <row r="23" ht="14.25" customHeight="1">
      <c r="B23" s="26" t="s">
        <v>56</v>
      </c>
      <c r="C23" s="20" t="s">
        <v>19</v>
      </c>
      <c r="D23" s="74">
        <v>0.0658</v>
      </c>
      <c r="E23" s="75">
        <f>0.01+0.1343+0.0006</f>
        <v>0.1449</v>
      </c>
      <c r="F23" s="76">
        <f>D23*E23</f>
        <v>0.00953442</v>
      </c>
      <c r="J23" s="17"/>
      <c r="L23" s="19"/>
      <c r="O23" s="19"/>
      <c r="R23" s="19"/>
      <c r="U23" s="19"/>
      <c r="X23" s="19"/>
      <c r="AB23" s="22">
        <f t="shared" si="8"/>
        <v>0.00953442</v>
      </c>
      <c r="AC23" s="20"/>
      <c r="AD23" s="20"/>
      <c r="AE23" s="20"/>
      <c r="AF23" s="20"/>
      <c r="AG23" s="20"/>
    </row>
    <row r="24" ht="14.25" customHeight="1">
      <c r="B24" s="30"/>
      <c r="C24" s="20"/>
      <c r="D24" s="17"/>
      <c r="F24" s="19"/>
      <c r="I24" s="19"/>
      <c r="L24" s="19"/>
      <c r="O24" s="19"/>
      <c r="R24" s="19"/>
      <c r="U24" s="19"/>
      <c r="X24" s="19"/>
      <c r="AB24" s="22">
        <f t="shared" si="8"/>
        <v>0</v>
      </c>
      <c r="AC24" s="20"/>
      <c r="AD24" s="20"/>
      <c r="AE24" s="20"/>
      <c r="AF24" s="20"/>
      <c r="AG24" s="20"/>
    </row>
    <row r="25" ht="14.25" customHeight="1">
      <c r="B25" s="27" t="s">
        <v>29</v>
      </c>
      <c r="C25" s="20"/>
      <c r="D25" s="17"/>
      <c r="F25" s="19"/>
      <c r="I25" s="19"/>
      <c r="L25" s="19"/>
      <c r="O25" s="19"/>
      <c r="R25" s="19"/>
      <c r="U25" s="19"/>
      <c r="X25" s="19"/>
      <c r="AB25" s="22">
        <f t="shared" si="8"/>
        <v>0</v>
      </c>
      <c r="AC25" s="20"/>
      <c r="AD25" s="20"/>
      <c r="AE25" s="20"/>
      <c r="AF25" s="20"/>
      <c r="AG25" s="20"/>
    </row>
    <row r="26" ht="14.25" customHeight="1">
      <c r="B26" s="26" t="s">
        <v>30</v>
      </c>
      <c r="C26" s="20" t="s">
        <v>19</v>
      </c>
      <c r="D26" s="17"/>
      <c r="F26" s="19"/>
      <c r="G26" s="77">
        <v>8.19E-5</v>
      </c>
      <c r="H26" s="77">
        <f>1.5*3*365</f>
        <v>1642.5</v>
      </c>
      <c r="I26" s="78">
        <f t="shared" ref="I26:I27" si="16">H26*G26</f>
        <v>0.13452075</v>
      </c>
      <c r="L26" s="19"/>
      <c r="O26" s="19"/>
      <c r="R26" s="19"/>
      <c r="U26" s="19"/>
      <c r="X26" s="19"/>
      <c r="AB26" s="22">
        <f t="shared" si="8"/>
        <v>0.13452075</v>
      </c>
      <c r="AC26" s="20"/>
      <c r="AD26" s="20"/>
      <c r="AE26" s="20"/>
      <c r="AF26" s="20"/>
      <c r="AG26" s="20"/>
    </row>
    <row r="27" ht="14.25" customHeight="1">
      <c r="B27" s="26" t="s">
        <v>31</v>
      </c>
      <c r="C27" s="20" t="s">
        <v>19</v>
      </c>
      <c r="D27" s="17"/>
      <c r="F27" s="19"/>
      <c r="G27" s="77">
        <v>2.0</v>
      </c>
      <c r="H27" s="79">
        <f>H26*50/1000</f>
        <v>82.125</v>
      </c>
      <c r="I27" s="78">
        <f t="shared" si="16"/>
        <v>164.25</v>
      </c>
      <c r="L27" s="19"/>
      <c r="O27" s="19"/>
      <c r="R27" s="19"/>
      <c r="U27" s="19"/>
      <c r="X27" s="19"/>
      <c r="AB27" s="22">
        <f t="shared" si="8"/>
        <v>164.25</v>
      </c>
      <c r="AC27" s="20"/>
      <c r="AD27" s="20"/>
      <c r="AE27" s="20"/>
      <c r="AF27" s="20"/>
      <c r="AG27" s="20"/>
    </row>
    <row r="28" ht="14.25" customHeight="1">
      <c r="B28" s="26" t="s">
        <v>57</v>
      </c>
      <c r="C28" s="20" t="s">
        <v>19</v>
      </c>
      <c r="D28" s="17"/>
      <c r="F28" s="19"/>
      <c r="G28" s="77">
        <v>0.308</v>
      </c>
      <c r="H28" s="79">
        <v>1.216</v>
      </c>
      <c r="I28" s="78">
        <f>G28*H28</f>
        <v>0.374528</v>
      </c>
      <c r="L28" s="19"/>
      <c r="O28" s="19"/>
      <c r="R28" s="19"/>
      <c r="U28" s="19"/>
      <c r="X28" s="19"/>
      <c r="AB28" s="22">
        <f t="shared" si="8"/>
        <v>0.374528</v>
      </c>
      <c r="AC28" s="20"/>
      <c r="AD28" s="20"/>
      <c r="AE28" s="20"/>
      <c r="AF28" s="20"/>
      <c r="AG28" s="20"/>
    </row>
    <row r="29" ht="14.25" customHeight="1">
      <c r="B29" s="26" t="s">
        <v>32</v>
      </c>
      <c r="C29" s="20" t="s">
        <v>33</v>
      </c>
      <c r="D29" s="17"/>
      <c r="F29" s="19"/>
      <c r="G29" s="80">
        <v>0.076</v>
      </c>
      <c r="H29" s="77">
        <v>100.0</v>
      </c>
      <c r="I29" s="78">
        <f t="shared" ref="I29:I31" si="17">H29*G29</f>
        <v>7.6</v>
      </c>
      <c r="L29" s="19"/>
      <c r="O29" s="19"/>
      <c r="R29" s="19"/>
      <c r="U29" s="19"/>
      <c r="X29" s="19"/>
      <c r="AB29" s="22">
        <f t="shared" si="8"/>
        <v>7.6</v>
      </c>
      <c r="AC29" s="20"/>
      <c r="AD29" s="20"/>
      <c r="AE29" s="20"/>
      <c r="AF29" s="20"/>
      <c r="AG29" s="20"/>
    </row>
    <row r="30" ht="14.25" customHeight="1">
      <c r="B30" s="23" t="s">
        <v>34</v>
      </c>
      <c r="C30" s="20" t="s">
        <v>35</v>
      </c>
      <c r="D30" s="17"/>
      <c r="F30" s="19"/>
      <c r="G30" s="80">
        <v>0.068</v>
      </c>
      <c r="H30" s="77">
        <v>100.0</v>
      </c>
      <c r="I30" s="78">
        <f t="shared" si="17"/>
        <v>6.8</v>
      </c>
      <c r="L30" s="19"/>
      <c r="O30" s="19"/>
      <c r="R30" s="19"/>
      <c r="U30" s="19"/>
      <c r="X30" s="19"/>
      <c r="AB30" s="22">
        <f t="shared" si="8"/>
        <v>6.8</v>
      </c>
      <c r="AC30" s="20"/>
      <c r="AD30" s="20"/>
      <c r="AE30" s="20"/>
      <c r="AF30" s="20"/>
      <c r="AG30" s="20"/>
    </row>
    <row r="31" ht="14.25" customHeight="1">
      <c r="B31" s="23" t="s">
        <v>36</v>
      </c>
      <c r="C31" s="20" t="s">
        <v>37</v>
      </c>
      <c r="D31" s="17"/>
      <c r="F31" s="19"/>
      <c r="G31" s="77">
        <v>0.166</v>
      </c>
      <c r="H31" s="77">
        <v>2.0</v>
      </c>
      <c r="I31" s="78">
        <f t="shared" si="17"/>
        <v>0.332</v>
      </c>
      <c r="L31" s="19"/>
      <c r="O31" s="19"/>
      <c r="R31" s="19"/>
      <c r="U31" s="19"/>
      <c r="V31" s="20"/>
      <c r="W31" s="20"/>
      <c r="X31" s="19"/>
      <c r="AB31" s="22">
        <f t="shared" si="8"/>
        <v>0.332</v>
      </c>
      <c r="AC31" s="20"/>
      <c r="AD31" s="20"/>
      <c r="AE31" s="20"/>
      <c r="AF31" s="20"/>
      <c r="AG31" s="20"/>
    </row>
    <row r="32">
      <c r="D32" s="17"/>
      <c r="F32" s="19"/>
      <c r="I32" s="19"/>
      <c r="L32" s="19"/>
      <c r="O32" s="19"/>
      <c r="R32" s="19"/>
      <c r="U32" s="19"/>
      <c r="X32" s="31"/>
      <c r="AB32" s="22">
        <f t="shared" si="8"/>
        <v>0</v>
      </c>
      <c r="AC32" s="20"/>
      <c r="AD32" s="20"/>
      <c r="AE32" s="20"/>
      <c r="AF32" s="20"/>
      <c r="AG32" s="20"/>
    </row>
    <row r="33" ht="14.25" customHeight="1">
      <c r="B33" s="32" t="s">
        <v>38</v>
      </c>
      <c r="C33" s="32"/>
      <c r="D33" s="33"/>
      <c r="E33" s="32"/>
      <c r="F33" s="22">
        <f>SUM(F7:F31)</f>
        <v>6.920112068</v>
      </c>
      <c r="G33" s="32"/>
      <c r="H33" s="32"/>
      <c r="I33" s="34">
        <f>SUM(I7:I31)</f>
        <v>179.4910488</v>
      </c>
      <c r="J33" s="32"/>
      <c r="K33" s="32"/>
      <c r="L33" s="22">
        <f>SUM(L7:L31)</f>
        <v>0</v>
      </c>
      <c r="M33" s="32"/>
      <c r="N33" s="32"/>
      <c r="O33" s="22">
        <f>SUM(O7:O31)</f>
        <v>-0.6922063858</v>
      </c>
      <c r="P33" s="32"/>
      <c r="Q33" s="32"/>
      <c r="R33" s="22">
        <f>SUM(R7:R31)</f>
        <v>0.0335749852</v>
      </c>
      <c r="S33" s="32"/>
      <c r="T33" s="32"/>
      <c r="U33" s="22">
        <f>SUM(U7:U31)</f>
        <v>0.0449865324</v>
      </c>
      <c r="V33" s="32"/>
      <c r="W33" s="32"/>
      <c r="X33" s="22">
        <f>SUM(X7:X31)</f>
        <v>0.01158381455</v>
      </c>
      <c r="Y33" s="32"/>
      <c r="Z33" s="32"/>
      <c r="AA33" s="22">
        <f t="shared" ref="AA33:AB33" si="18">SUM(AA7:AA31)</f>
        <v>0.0046222936</v>
      </c>
      <c r="AB33" s="22">
        <f t="shared" si="18"/>
        <v>185.8137221</v>
      </c>
      <c r="AC33" s="20"/>
      <c r="AD33" s="20"/>
      <c r="AE33" s="20"/>
      <c r="AF33" s="20"/>
      <c r="AG33" s="20"/>
    </row>
    <row r="34" ht="14.25" customHeight="1">
      <c r="B34" s="35"/>
      <c r="C34" s="35"/>
      <c r="D34" s="35"/>
      <c r="E34" s="35"/>
      <c r="F34" s="21"/>
      <c r="G34" s="35"/>
    </row>
    <row r="35" ht="14.25" customHeight="1">
      <c r="B35" s="35"/>
      <c r="C35" s="35"/>
      <c r="D35" s="36" t="s">
        <v>58</v>
      </c>
      <c r="E35" s="37"/>
      <c r="F35" s="38"/>
      <c r="G35" s="81" t="s">
        <v>59</v>
      </c>
    </row>
    <row r="36" ht="14.25" customHeight="1">
      <c r="B36" s="35"/>
      <c r="C36" s="35"/>
      <c r="D36" s="46"/>
      <c r="F36" s="47"/>
      <c r="G36" s="82" t="s">
        <v>60</v>
      </c>
      <c r="S36" s="83"/>
      <c r="T36" s="83"/>
      <c r="U36" s="83"/>
      <c r="V36" s="83"/>
      <c r="W36" s="83"/>
    </row>
    <row r="37" ht="14.25" customHeight="1">
      <c r="B37" s="35"/>
      <c r="C37" s="35"/>
      <c r="D37" s="46"/>
      <c r="F37" s="47"/>
      <c r="S37" s="83"/>
      <c r="T37" s="83"/>
      <c r="U37" s="83"/>
      <c r="V37" s="83"/>
      <c r="W37" s="83"/>
      <c r="X37" s="84"/>
      <c r="Y37" s="84"/>
      <c r="Z37" s="84"/>
      <c r="AA37" s="84"/>
      <c r="AB37" s="84"/>
      <c r="AC37" s="84"/>
      <c r="AD37" s="84"/>
      <c r="AE37" s="84"/>
      <c r="AF37" s="84"/>
      <c r="AG37" s="84"/>
    </row>
    <row r="38" ht="14.25" customHeight="1">
      <c r="B38" s="35"/>
      <c r="C38" s="35"/>
      <c r="D38" s="46"/>
      <c r="F38" s="47"/>
      <c r="S38" s="83"/>
      <c r="T38" s="83"/>
      <c r="U38" s="83"/>
      <c r="V38" s="83"/>
      <c r="W38" s="83"/>
      <c r="X38" s="84"/>
      <c r="Y38" s="84"/>
      <c r="Z38" s="84"/>
      <c r="AA38" s="84"/>
      <c r="AB38" s="84"/>
      <c r="AC38" s="84"/>
      <c r="AD38" s="84"/>
      <c r="AE38" s="84"/>
      <c r="AF38" s="84"/>
      <c r="AG38" s="84"/>
    </row>
    <row r="39" ht="14.25" customHeight="1">
      <c r="B39" s="35"/>
      <c r="C39" s="35"/>
      <c r="D39" s="46"/>
      <c r="F39" s="47"/>
      <c r="S39" s="83"/>
      <c r="T39" s="83"/>
      <c r="U39" s="83"/>
      <c r="V39" s="83"/>
      <c r="W39" s="83"/>
      <c r="X39" s="84"/>
      <c r="Y39" s="84"/>
      <c r="Z39" s="84"/>
      <c r="AA39" s="84"/>
      <c r="AB39" s="84"/>
      <c r="AC39" s="84"/>
      <c r="AD39" s="84"/>
      <c r="AE39" s="84"/>
      <c r="AF39" s="84"/>
      <c r="AG39" s="84"/>
    </row>
    <row r="40" ht="14.25" customHeight="1">
      <c r="D40" s="46"/>
      <c r="F40" s="47"/>
    </row>
    <row r="41" ht="14.25" customHeight="1">
      <c r="D41" s="46"/>
      <c r="F41" s="47"/>
    </row>
    <row r="42" ht="14.25" customHeight="1">
      <c r="D42" s="46"/>
      <c r="F42" s="47"/>
    </row>
    <row r="43" ht="14.25" customHeight="1">
      <c r="D43" s="46"/>
      <c r="F43" s="47"/>
    </row>
    <row r="44" ht="14.25" customHeight="1">
      <c r="D44" s="46"/>
      <c r="F44" s="47"/>
    </row>
    <row r="45" ht="14.25" customHeight="1">
      <c r="D45" s="46"/>
      <c r="F45" s="47"/>
    </row>
    <row r="46" ht="14.25" customHeight="1">
      <c r="D46" s="46"/>
      <c r="F46" s="47"/>
    </row>
    <row r="47" ht="14.25" customHeight="1">
      <c r="D47" s="46"/>
      <c r="F47" s="47"/>
    </row>
    <row r="48" ht="14.25" customHeight="1">
      <c r="D48" s="46"/>
      <c r="F48" s="47"/>
    </row>
    <row r="49" ht="14.25" customHeight="1">
      <c r="D49" s="46"/>
      <c r="F49" s="47"/>
    </row>
    <row r="50" ht="14.25" customHeight="1">
      <c r="D50" s="46"/>
      <c r="F50" s="47"/>
    </row>
    <row r="51" ht="14.25" customHeight="1">
      <c r="D51" s="46"/>
      <c r="F51" s="47"/>
    </row>
    <row r="52" ht="14.25" customHeight="1">
      <c r="D52" s="46"/>
      <c r="F52" s="47"/>
    </row>
    <row r="53" ht="14.25" customHeight="1">
      <c r="D53" s="46"/>
      <c r="F53" s="47"/>
    </row>
    <row r="54" ht="14.25" customHeight="1">
      <c r="D54" s="46"/>
      <c r="F54" s="47"/>
    </row>
    <row r="55" ht="14.25" customHeight="1">
      <c r="D55" s="46"/>
      <c r="F55" s="47"/>
    </row>
    <row r="56" ht="14.25" customHeight="1">
      <c r="D56" s="55"/>
      <c r="E56" s="56"/>
      <c r="F56" s="57"/>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sheetData>
  <mergeCells count="16">
    <mergeCell ref="J4:L4"/>
    <mergeCell ref="M4:O4"/>
    <mergeCell ref="D35:F56"/>
    <mergeCell ref="G36:R45"/>
    <mergeCell ref="P4:R4"/>
    <mergeCell ref="S4:U4"/>
    <mergeCell ref="V4:X4"/>
    <mergeCell ref="Y4:AA4"/>
    <mergeCell ref="G35:AG35"/>
    <mergeCell ref="B2:AB2"/>
    <mergeCell ref="D3:F3"/>
    <mergeCell ref="G3:I3"/>
    <mergeCell ref="J3:AA3"/>
    <mergeCell ref="AB3:AB4"/>
    <mergeCell ref="D4:F4"/>
    <mergeCell ref="G4:I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75"/>
    <col customWidth="1" min="2" max="2" width="19.63"/>
    <col customWidth="1" min="3" max="28" width="9.38"/>
  </cols>
  <sheetData>
    <row r="2" ht="15.0" customHeight="1">
      <c r="B2" s="61" t="s">
        <v>61</v>
      </c>
      <c r="C2" s="62"/>
      <c r="D2" s="62"/>
      <c r="E2" s="62"/>
      <c r="F2" s="62"/>
      <c r="G2" s="62"/>
      <c r="H2" s="62"/>
      <c r="I2" s="62"/>
      <c r="J2" s="62"/>
      <c r="K2" s="62"/>
      <c r="L2" s="62"/>
      <c r="M2" s="62"/>
      <c r="N2" s="62"/>
      <c r="O2" s="62"/>
      <c r="P2" s="62"/>
      <c r="Q2" s="62"/>
      <c r="R2" s="62"/>
      <c r="S2" s="62"/>
      <c r="T2" s="62"/>
      <c r="U2" s="62"/>
      <c r="V2" s="62"/>
      <c r="W2" s="62"/>
      <c r="X2" s="62"/>
      <c r="Y2" s="62"/>
      <c r="Z2" s="62"/>
      <c r="AA2" s="62"/>
      <c r="AB2" s="63"/>
    </row>
    <row r="3" ht="14.25" customHeight="1">
      <c r="B3" s="1" t="s">
        <v>0</v>
      </c>
      <c r="C3" s="2"/>
      <c r="D3" s="3" t="s">
        <v>1</v>
      </c>
      <c r="E3" s="4"/>
      <c r="F3" s="5"/>
      <c r="G3" s="6" t="s">
        <v>2</v>
      </c>
      <c r="H3" s="4"/>
      <c r="I3" s="5"/>
      <c r="J3" s="7" t="s">
        <v>3</v>
      </c>
      <c r="K3" s="4"/>
      <c r="L3" s="4"/>
      <c r="M3" s="4"/>
      <c r="N3" s="4"/>
      <c r="O3" s="4"/>
      <c r="P3" s="4"/>
      <c r="Q3" s="4"/>
      <c r="R3" s="4"/>
      <c r="S3" s="4"/>
      <c r="T3" s="4"/>
      <c r="U3" s="4"/>
      <c r="V3" s="4"/>
      <c r="W3" s="4"/>
      <c r="X3" s="4"/>
      <c r="Y3" s="4"/>
      <c r="Z3" s="4"/>
      <c r="AA3" s="5"/>
      <c r="AB3" s="8" t="s">
        <v>4</v>
      </c>
    </row>
    <row r="4" ht="14.25" customHeight="1">
      <c r="B4" s="9"/>
      <c r="C4" s="9"/>
      <c r="D4" s="10" t="s">
        <v>5</v>
      </c>
      <c r="E4" s="4"/>
      <c r="F4" s="5"/>
      <c r="G4" s="11" t="s">
        <v>6</v>
      </c>
      <c r="H4" s="4"/>
      <c r="I4" s="5"/>
      <c r="J4" s="12" t="s">
        <v>7</v>
      </c>
      <c r="K4" s="4"/>
      <c r="L4" s="5"/>
      <c r="M4" s="12" t="s">
        <v>8</v>
      </c>
      <c r="N4" s="4"/>
      <c r="O4" s="5"/>
      <c r="P4" s="12" t="s">
        <v>9</v>
      </c>
      <c r="Q4" s="4"/>
      <c r="R4" s="5"/>
      <c r="S4" s="12" t="s">
        <v>10</v>
      </c>
      <c r="T4" s="4"/>
      <c r="U4" s="5"/>
      <c r="V4" s="12" t="s">
        <v>11</v>
      </c>
      <c r="W4" s="4"/>
      <c r="X4" s="5"/>
      <c r="Y4" s="12" t="s">
        <v>12</v>
      </c>
      <c r="Z4" s="4"/>
      <c r="AA4" s="5"/>
      <c r="AB4" s="13"/>
    </row>
    <row r="5" ht="14.25" customHeight="1">
      <c r="B5" s="14"/>
      <c r="C5" s="15" t="s">
        <v>13</v>
      </c>
      <c r="D5" s="15" t="s">
        <v>14</v>
      </c>
      <c r="E5" s="15" t="s">
        <v>15</v>
      </c>
      <c r="F5" s="15" t="s">
        <v>16</v>
      </c>
      <c r="G5" s="15" t="s">
        <v>14</v>
      </c>
      <c r="H5" s="15" t="s">
        <v>15</v>
      </c>
      <c r="I5" s="15" t="s">
        <v>16</v>
      </c>
      <c r="J5" s="15" t="s">
        <v>14</v>
      </c>
      <c r="K5" s="15" t="s">
        <v>15</v>
      </c>
      <c r="L5" s="15" t="s">
        <v>16</v>
      </c>
      <c r="M5" s="15" t="s">
        <v>14</v>
      </c>
      <c r="N5" s="15" t="s">
        <v>15</v>
      </c>
      <c r="O5" s="15" t="s">
        <v>16</v>
      </c>
      <c r="P5" s="15" t="s">
        <v>14</v>
      </c>
      <c r="Q5" s="15" t="s">
        <v>15</v>
      </c>
      <c r="R5" s="15" t="s">
        <v>16</v>
      </c>
      <c r="S5" s="15" t="s">
        <v>14</v>
      </c>
      <c r="T5" s="15" t="s">
        <v>15</v>
      </c>
      <c r="U5" s="15" t="s">
        <v>16</v>
      </c>
      <c r="V5" s="15" t="s">
        <v>14</v>
      </c>
      <c r="W5" s="15" t="s">
        <v>15</v>
      </c>
      <c r="X5" s="15" t="s">
        <v>16</v>
      </c>
      <c r="Y5" s="15" t="s">
        <v>14</v>
      </c>
      <c r="Z5" s="15" t="s">
        <v>15</v>
      </c>
      <c r="AA5" s="15" t="s">
        <v>16</v>
      </c>
      <c r="AB5" s="15" t="s">
        <v>16</v>
      </c>
    </row>
    <row r="6" ht="14.25" customHeight="1">
      <c r="B6" s="16" t="s">
        <v>17</v>
      </c>
      <c r="D6" s="17"/>
      <c r="E6" s="18"/>
      <c r="F6" s="19"/>
      <c r="I6" s="19"/>
      <c r="K6" s="20"/>
      <c r="L6" s="19"/>
      <c r="O6" s="19"/>
      <c r="Q6" s="20"/>
      <c r="R6" s="19"/>
      <c r="T6" s="20"/>
      <c r="U6" s="19"/>
      <c r="W6" s="20"/>
      <c r="X6" s="19"/>
      <c r="Y6" s="21"/>
      <c r="AB6" s="22"/>
    </row>
    <row r="7" ht="14.25" customHeight="1">
      <c r="B7" s="26" t="s">
        <v>62</v>
      </c>
      <c r="C7" s="19" t="s">
        <v>19</v>
      </c>
      <c r="D7" s="20">
        <v>1.748</v>
      </c>
      <c r="E7" s="18">
        <v>0.1</v>
      </c>
      <c r="F7" s="19">
        <f t="shared" ref="F7:F18" si="1">D7*E7</f>
        <v>0.1748</v>
      </c>
      <c r="I7" s="19"/>
      <c r="K7" s="20">
        <v>0.0</v>
      </c>
      <c r="L7" s="19">
        <v>0.0</v>
      </c>
      <c r="M7" s="20">
        <v>-0.946</v>
      </c>
      <c r="N7" s="20">
        <f t="shared" ref="N7:N8" si="2">0.8*E7</f>
        <v>0.08</v>
      </c>
      <c r="O7" s="19">
        <f t="shared" ref="O7:O17" si="3">M7*N7</f>
        <v>-0.07568</v>
      </c>
      <c r="P7" s="20">
        <v>0.073</v>
      </c>
      <c r="Q7" s="20">
        <f t="shared" ref="Q7:Q8" si="4">E7*0.05</f>
        <v>0.005</v>
      </c>
      <c r="R7" s="19">
        <f>Q7*P7</f>
        <v>0.000365</v>
      </c>
      <c r="S7" s="20">
        <v>0.198</v>
      </c>
      <c r="T7" s="20">
        <f t="shared" ref="T7:T8" si="5">0*E7</f>
        <v>0</v>
      </c>
      <c r="U7" s="19">
        <f>S7*T7</f>
        <v>0</v>
      </c>
      <c r="V7" s="20">
        <v>0.038</v>
      </c>
      <c r="W7" s="20">
        <f t="shared" ref="W7:W8" si="6">0.15*E7</f>
        <v>0.015</v>
      </c>
      <c r="X7" s="19">
        <f>W7*V7</f>
        <v>0.00057</v>
      </c>
      <c r="Y7" s="66">
        <v>0.04</v>
      </c>
      <c r="Z7" s="20">
        <f t="shared" ref="Z7:Z8" si="7">E7*0</f>
        <v>0</v>
      </c>
      <c r="AA7" s="20">
        <f t="shared" ref="AA7:AA9" si="8">Z7*Y7</f>
        <v>0</v>
      </c>
      <c r="AB7" s="22">
        <f t="shared" ref="AB7:AB18" si="9">F7+L7+I7+O7+R7+U7+X7+AA7</f>
        <v>0.100055</v>
      </c>
    </row>
    <row r="8" ht="14.25" customHeight="1">
      <c r="B8" s="26" t="s">
        <v>63</v>
      </c>
      <c r="C8" s="19" t="s">
        <v>19</v>
      </c>
      <c r="D8" s="20">
        <v>1.991</v>
      </c>
      <c r="E8" s="18">
        <v>0.1</v>
      </c>
      <c r="F8" s="19">
        <f t="shared" si="1"/>
        <v>0.1991</v>
      </c>
      <c r="I8" s="19"/>
      <c r="K8" s="20"/>
      <c r="L8" s="19"/>
      <c r="M8" s="20">
        <v>-0.946</v>
      </c>
      <c r="N8" s="20">
        <f t="shared" si="2"/>
        <v>0.08</v>
      </c>
      <c r="O8" s="19">
        <f t="shared" si="3"/>
        <v>-0.07568</v>
      </c>
      <c r="P8" s="20">
        <v>-0.946</v>
      </c>
      <c r="Q8" s="20">
        <f t="shared" si="4"/>
        <v>0.005</v>
      </c>
      <c r="R8" s="19"/>
      <c r="S8" s="20"/>
      <c r="T8" s="20">
        <f t="shared" si="5"/>
        <v>0</v>
      </c>
      <c r="U8" s="19"/>
      <c r="V8" s="20"/>
      <c r="W8" s="20">
        <f t="shared" si="6"/>
        <v>0.015</v>
      </c>
      <c r="X8" s="19"/>
      <c r="Y8" s="66">
        <v>0.0</v>
      </c>
      <c r="Z8" s="20">
        <f t="shared" si="7"/>
        <v>0</v>
      </c>
      <c r="AA8" s="20">
        <f t="shared" si="8"/>
        <v>0</v>
      </c>
      <c r="AB8" s="22">
        <f t="shared" si="9"/>
        <v>0.12342</v>
      </c>
    </row>
    <row r="9" ht="14.25" customHeight="1">
      <c r="B9" s="26" t="s">
        <v>64</v>
      </c>
      <c r="C9" s="19" t="s">
        <v>19</v>
      </c>
      <c r="D9" s="20">
        <v>1.355</v>
      </c>
      <c r="E9" s="20">
        <v>0.0154</v>
      </c>
      <c r="F9" s="19">
        <f t="shared" si="1"/>
        <v>0.020867</v>
      </c>
      <c r="I9" s="19"/>
      <c r="K9" s="20">
        <v>0.0</v>
      </c>
      <c r="L9" s="19">
        <v>0.0</v>
      </c>
      <c r="M9" s="20">
        <v>-0.271</v>
      </c>
      <c r="N9" s="20">
        <v>0.0</v>
      </c>
      <c r="O9" s="19">
        <f t="shared" si="3"/>
        <v>0</v>
      </c>
      <c r="P9" s="20">
        <v>0.05</v>
      </c>
      <c r="Q9" s="20">
        <f>E9*0.2</f>
        <v>0.00308</v>
      </c>
      <c r="R9" s="19">
        <f t="shared" ref="R9:R14" si="10">Q9*P9</f>
        <v>0.000154</v>
      </c>
      <c r="S9" s="20">
        <v>0.298</v>
      </c>
      <c r="T9" s="20">
        <f t="shared" ref="T9:T10" si="11">0.15*E9</f>
        <v>0.00231</v>
      </c>
      <c r="U9" s="19">
        <f t="shared" ref="U9:U14" si="12">S9*T9</f>
        <v>0.00068838</v>
      </c>
      <c r="V9" s="67">
        <v>1.146</v>
      </c>
      <c r="W9" s="20">
        <f>0.25*E9</f>
        <v>0.00385</v>
      </c>
      <c r="X9" s="68">
        <f t="shared" ref="X9:X14" si="13">W9*V9</f>
        <v>0.0044121</v>
      </c>
      <c r="Y9" s="20">
        <v>0.04</v>
      </c>
      <c r="Z9" s="20">
        <f>0.4*E9</f>
        <v>0.00616</v>
      </c>
      <c r="AA9" s="20">
        <f t="shared" si="8"/>
        <v>0.0002464</v>
      </c>
      <c r="AB9" s="69">
        <f t="shared" si="9"/>
        <v>0.02636788</v>
      </c>
    </row>
    <row r="10" ht="14.25" customHeight="1">
      <c r="B10" s="26" t="s">
        <v>24</v>
      </c>
      <c r="C10" s="85" t="s">
        <v>19</v>
      </c>
      <c r="D10" s="20">
        <v>0.773</v>
      </c>
      <c r="E10" s="20">
        <v>0.016</v>
      </c>
      <c r="F10" s="19">
        <f t="shared" si="1"/>
        <v>0.012368</v>
      </c>
      <c r="I10" s="19"/>
      <c r="K10" s="20">
        <v>0.0</v>
      </c>
      <c r="L10" s="19">
        <v>0.0</v>
      </c>
      <c r="M10" s="20">
        <v>-0.387</v>
      </c>
      <c r="N10" s="20">
        <f>0.1*E10</f>
        <v>0.0016</v>
      </c>
      <c r="O10" s="19">
        <f t="shared" si="3"/>
        <v>-0.0006192</v>
      </c>
      <c r="P10" s="20">
        <v>0.0</v>
      </c>
      <c r="Q10" s="20">
        <f>E10*0.05</f>
        <v>0.0008</v>
      </c>
      <c r="R10" s="19">
        <f t="shared" si="10"/>
        <v>0</v>
      </c>
      <c r="S10" s="20">
        <v>0.0</v>
      </c>
      <c r="T10" s="20">
        <f t="shared" si="11"/>
        <v>0.0024</v>
      </c>
      <c r="U10" s="19">
        <f t="shared" si="12"/>
        <v>0</v>
      </c>
      <c r="V10" s="20">
        <v>2.28E-4</v>
      </c>
      <c r="W10" s="20">
        <f>0.45*E10</f>
        <v>0.0072</v>
      </c>
      <c r="X10" s="19">
        <f t="shared" si="13"/>
        <v>0.0000016416</v>
      </c>
      <c r="Y10" s="20">
        <v>0.0</v>
      </c>
      <c r="Z10" s="20">
        <f>0.25*E10</f>
        <v>0.004</v>
      </c>
      <c r="AA10" s="20">
        <v>0.0</v>
      </c>
      <c r="AB10" s="22">
        <f t="shared" si="9"/>
        <v>0.0117504416</v>
      </c>
    </row>
    <row r="11" ht="14.25" customHeight="1">
      <c r="B11" s="26" t="s">
        <v>50</v>
      </c>
      <c r="C11" s="85" t="s">
        <v>19</v>
      </c>
      <c r="D11" s="20">
        <v>33.11</v>
      </c>
      <c r="E11" s="18">
        <v>0.851</v>
      </c>
      <c r="F11" s="19">
        <f t="shared" si="1"/>
        <v>28.17661</v>
      </c>
      <c r="I11" s="19"/>
      <c r="K11" s="20">
        <v>0.0</v>
      </c>
      <c r="L11" s="19">
        <v>0.0</v>
      </c>
      <c r="M11" s="20">
        <v>-30.47</v>
      </c>
      <c r="N11" s="20">
        <f t="shared" ref="N11:N12" si="14">0.5*E11</f>
        <v>0.4255</v>
      </c>
      <c r="O11" s="19">
        <f t="shared" si="3"/>
        <v>-12.964985</v>
      </c>
      <c r="P11" s="20">
        <v>0.0</v>
      </c>
      <c r="Q11" s="20">
        <f t="shared" ref="Q11:Q12" si="15">E11*0.2</f>
        <v>0.1702</v>
      </c>
      <c r="R11" s="19">
        <f t="shared" si="10"/>
        <v>0</v>
      </c>
      <c r="S11" s="20">
        <v>0.0</v>
      </c>
      <c r="T11" s="20">
        <f t="shared" ref="T11:T13" si="16">0.1*E11</f>
        <v>0.0851</v>
      </c>
      <c r="U11" s="19">
        <f t="shared" si="12"/>
        <v>0</v>
      </c>
      <c r="V11" s="67">
        <v>4.21E-7</v>
      </c>
      <c r="W11" s="20">
        <f t="shared" ref="W11:W12" si="17">0.1*E11</f>
        <v>0.0851</v>
      </c>
      <c r="X11" s="68">
        <f t="shared" si="13"/>
        <v>0.0000000358271</v>
      </c>
      <c r="Y11" s="20">
        <v>0.0</v>
      </c>
      <c r="Z11" s="20">
        <f t="shared" ref="Z11:Z14" si="18">0.1*E11</f>
        <v>0.0851</v>
      </c>
      <c r="AA11" s="20">
        <v>0.0</v>
      </c>
      <c r="AB11" s="69">
        <f t="shared" si="9"/>
        <v>15.21162504</v>
      </c>
    </row>
    <row r="12" ht="14.25" customHeight="1">
      <c r="B12" s="26" t="s">
        <v>65</v>
      </c>
      <c r="C12" s="19" t="s">
        <v>19</v>
      </c>
      <c r="D12" s="20">
        <v>1.21</v>
      </c>
      <c r="E12" s="18">
        <v>0.051</v>
      </c>
      <c r="F12" s="19">
        <f t="shared" si="1"/>
        <v>0.06171</v>
      </c>
      <c r="I12" s="19"/>
      <c r="K12" s="20">
        <v>0.0</v>
      </c>
      <c r="L12" s="19">
        <v>0.0</v>
      </c>
      <c r="M12" s="20">
        <v>-1.18</v>
      </c>
      <c r="N12" s="20">
        <f t="shared" si="14"/>
        <v>0.0255</v>
      </c>
      <c r="O12" s="19">
        <f t="shared" si="3"/>
        <v>-0.03009</v>
      </c>
      <c r="P12" s="20">
        <v>0.0</v>
      </c>
      <c r="Q12" s="20">
        <f t="shared" si="15"/>
        <v>0.0102</v>
      </c>
      <c r="R12" s="19">
        <f t="shared" si="10"/>
        <v>0</v>
      </c>
      <c r="S12" s="20">
        <v>0.0</v>
      </c>
      <c r="T12" s="20">
        <f t="shared" si="16"/>
        <v>0.0051</v>
      </c>
      <c r="U12" s="19">
        <f t="shared" si="12"/>
        <v>0</v>
      </c>
      <c r="V12" s="67">
        <v>2.11E-6</v>
      </c>
      <c r="W12" s="20">
        <f t="shared" si="17"/>
        <v>0.0051</v>
      </c>
      <c r="X12" s="68">
        <f t="shared" si="13"/>
        <v>0.000000010761</v>
      </c>
      <c r="Y12" s="20">
        <v>0.0</v>
      </c>
      <c r="Z12" s="20">
        <f t="shared" si="18"/>
        <v>0.0051</v>
      </c>
      <c r="AA12" s="20">
        <v>0.0</v>
      </c>
      <c r="AB12" s="69">
        <f t="shared" si="9"/>
        <v>0.03162001076</v>
      </c>
    </row>
    <row r="13" ht="14.25" customHeight="1">
      <c r="B13" s="26" t="s">
        <v>44</v>
      </c>
      <c r="C13" s="19" t="s">
        <v>19</v>
      </c>
      <c r="D13" s="20">
        <v>0.824</v>
      </c>
      <c r="E13" s="20">
        <v>0.142</v>
      </c>
      <c r="F13" s="19">
        <f t="shared" si="1"/>
        <v>0.117008</v>
      </c>
      <c r="I13" s="19"/>
      <c r="K13" s="20">
        <v>0.0</v>
      </c>
      <c r="L13" s="19">
        <v>0.0</v>
      </c>
      <c r="M13" s="20">
        <v>-0.412</v>
      </c>
      <c r="N13" s="20">
        <f t="shared" ref="N13:N14" si="19">0.2*E13</f>
        <v>0.0284</v>
      </c>
      <c r="O13" s="19">
        <f t="shared" si="3"/>
        <v>-0.0117008</v>
      </c>
      <c r="P13" s="20">
        <v>0.128</v>
      </c>
      <c r="Q13" s="20">
        <f>E13*0.4</f>
        <v>0.0568</v>
      </c>
      <c r="R13" s="19">
        <f t="shared" si="10"/>
        <v>0.0072704</v>
      </c>
      <c r="S13" s="20">
        <v>0.282</v>
      </c>
      <c r="T13" s="20">
        <f t="shared" si="16"/>
        <v>0.0142</v>
      </c>
      <c r="U13" s="19">
        <f t="shared" si="12"/>
        <v>0.0040044</v>
      </c>
      <c r="V13" s="20">
        <v>0.038</v>
      </c>
      <c r="W13" s="20">
        <f>0.2*E13</f>
        <v>0.0284</v>
      </c>
      <c r="X13" s="19">
        <f t="shared" si="13"/>
        <v>0.0010792</v>
      </c>
      <c r="Y13" s="20">
        <v>0.001</v>
      </c>
      <c r="Z13" s="20">
        <f t="shared" si="18"/>
        <v>0.0142</v>
      </c>
      <c r="AA13" s="20">
        <f>Y13*Z13</f>
        <v>0.0000142</v>
      </c>
      <c r="AB13" s="22">
        <f t="shared" si="9"/>
        <v>0.1176754</v>
      </c>
    </row>
    <row r="14" ht="14.25" customHeight="1">
      <c r="B14" s="26" t="s">
        <v>66</v>
      </c>
      <c r="C14" s="19" t="s">
        <v>19</v>
      </c>
      <c r="D14" s="20">
        <v>0.948</v>
      </c>
      <c r="E14" s="20">
        <v>0.1</v>
      </c>
      <c r="F14" s="19">
        <f t="shared" si="1"/>
        <v>0.0948</v>
      </c>
      <c r="I14" s="19"/>
      <c r="K14" s="20">
        <v>0.0</v>
      </c>
      <c r="L14" s="19">
        <v>0.0</v>
      </c>
      <c r="M14" s="20">
        <v>-0.474</v>
      </c>
      <c r="N14" s="20">
        <f t="shared" si="19"/>
        <v>0.02</v>
      </c>
      <c r="O14" s="19">
        <f t="shared" si="3"/>
        <v>-0.00948</v>
      </c>
      <c r="P14" s="20">
        <v>0.0</v>
      </c>
      <c r="Q14" s="20">
        <f>E14*0.25</f>
        <v>0.025</v>
      </c>
      <c r="R14" s="19">
        <f t="shared" si="10"/>
        <v>0</v>
      </c>
      <c r="S14" s="20">
        <v>0.0</v>
      </c>
      <c r="T14" s="20">
        <f>0.15*E14</f>
        <v>0.015</v>
      </c>
      <c r="U14" s="19">
        <f t="shared" si="12"/>
        <v>0</v>
      </c>
      <c r="V14" s="67">
        <v>6.32E-7</v>
      </c>
      <c r="W14" s="20">
        <f>0.3*E14</f>
        <v>0.03</v>
      </c>
      <c r="X14" s="68">
        <f t="shared" si="13"/>
        <v>0.00000001896</v>
      </c>
      <c r="Y14" s="20">
        <v>0.0</v>
      </c>
      <c r="Z14" s="20">
        <f t="shared" si="18"/>
        <v>0.01</v>
      </c>
      <c r="AA14" s="20">
        <v>0.0</v>
      </c>
      <c r="AB14" s="69">
        <f t="shared" si="9"/>
        <v>0.08532001896</v>
      </c>
    </row>
    <row r="15" ht="14.25" customHeight="1">
      <c r="B15" s="26" t="s">
        <v>48</v>
      </c>
      <c r="C15" s="19" t="s">
        <v>19</v>
      </c>
      <c r="D15" s="20">
        <v>0.279</v>
      </c>
      <c r="E15" s="20">
        <v>0.16</v>
      </c>
      <c r="F15" s="19">
        <f t="shared" si="1"/>
        <v>0.04464</v>
      </c>
      <c r="I15" s="19"/>
      <c r="J15" s="20">
        <v>-0.279</v>
      </c>
      <c r="K15" s="20">
        <f>E15*60</f>
        <v>9.6</v>
      </c>
      <c r="L15" s="19">
        <f>J15*K15</f>
        <v>-2.6784</v>
      </c>
      <c r="M15" s="20">
        <v>-0.223</v>
      </c>
      <c r="N15" s="20">
        <f>E15*0.1</f>
        <v>0.016</v>
      </c>
      <c r="O15" s="19">
        <f t="shared" si="3"/>
        <v>-0.003568</v>
      </c>
      <c r="P15" s="20"/>
      <c r="R15" s="19"/>
      <c r="S15" s="20"/>
      <c r="T15" s="20"/>
      <c r="U15" s="19"/>
      <c r="V15" s="67"/>
      <c r="W15" s="20"/>
      <c r="X15" s="19"/>
      <c r="Z15" s="20"/>
      <c r="AB15" s="22">
        <f t="shared" si="9"/>
        <v>-2.637328</v>
      </c>
    </row>
    <row r="16" ht="14.25" customHeight="1">
      <c r="B16" s="26" t="s">
        <v>67</v>
      </c>
      <c r="C16" s="19" t="s">
        <v>19</v>
      </c>
      <c r="D16" s="20">
        <v>0.2</v>
      </c>
      <c r="E16" s="20">
        <v>0.002</v>
      </c>
      <c r="F16" s="19">
        <f t="shared" si="1"/>
        <v>0.0004</v>
      </c>
      <c r="I16" s="19"/>
      <c r="K16" s="20"/>
      <c r="L16" s="19"/>
      <c r="M16" s="20">
        <v>0.0</v>
      </c>
      <c r="O16" s="19">
        <f t="shared" si="3"/>
        <v>0</v>
      </c>
      <c r="P16" s="20">
        <v>0.0</v>
      </c>
      <c r="R16" s="19">
        <v>0.0</v>
      </c>
      <c r="S16" s="20">
        <v>0.0</v>
      </c>
      <c r="T16" s="20"/>
      <c r="U16" s="19">
        <v>0.0</v>
      </c>
      <c r="V16" s="67">
        <v>2.28E-4</v>
      </c>
      <c r="W16" s="20">
        <v>0.002</v>
      </c>
      <c r="X16" s="68">
        <f t="shared" ref="X16:X18" si="20">W16*V16</f>
        <v>0.000000456</v>
      </c>
      <c r="Y16" s="20">
        <v>0.0</v>
      </c>
      <c r="Z16" s="20">
        <v>0.0</v>
      </c>
      <c r="AA16" s="20">
        <v>0.0</v>
      </c>
      <c r="AB16" s="69">
        <f t="shared" si="9"/>
        <v>0.000400456</v>
      </c>
    </row>
    <row r="17" ht="14.25" customHeight="1">
      <c r="B17" s="26" t="s">
        <v>68</v>
      </c>
      <c r="C17" s="19" t="s">
        <v>19</v>
      </c>
      <c r="D17" s="20">
        <v>0.3</v>
      </c>
      <c r="E17" s="20">
        <v>0.2277</v>
      </c>
      <c r="F17" s="19">
        <f t="shared" si="1"/>
        <v>0.06831</v>
      </c>
      <c r="I17" s="19"/>
      <c r="K17" s="20"/>
      <c r="L17" s="19"/>
      <c r="M17" s="20">
        <v>-0.061</v>
      </c>
      <c r="N17" s="20">
        <f>0.2*E17</f>
        <v>0.04554</v>
      </c>
      <c r="O17" s="19">
        <f t="shared" si="3"/>
        <v>-0.00277794</v>
      </c>
      <c r="P17" s="20">
        <v>-0.0412</v>
      </c>
      <c r="Q17" s="20">
        <f>0.1*E17</f>
        <v>0.02277</v>
      </c>
      <c r="R17" s="19">
        <f t="shared" ref="R17:R18" si="21">Q17*P17</f>
        <v>-0.000938124</v>
      </c>
      <c r="S17" s="20">
        <v>0.0249</v>
      </c>
      <c r="T17" s="20">
        <f>0.2*E17</f>
        <v>0.04554</v>
      </c>
      <c r="U17" s="19">
        <f t="shared" ref="U17:U18" si="22">T17*S17</f>
        <v>0.001133946</v>
      </c>
      <c r="V17" s="20">
        <v>0.545</v>
      </c>
      <c r="W17" s="20">
        <f>0.5*E17</f>
        <v>0.11385</v>
      </c>
      <c r="X17" s="19">
        <f t="shared" si="20"/>
        <v>0.06204825</v>
      </c>
      <c r="Y17" s="20">
        <v>0.0</v>
      </c>
      <c r="Z17" s="20"/>
      <c r="AB17" s="22">
        <f t="shared" si="9"/>
        <v>0.127776132</v>
      </c>
    </row>
    <row r="18" ht="14.25" customHeight="1">
      <c r="B18" s="23" t="s">
        <v>51</v>
      </c>
      <c r="C18" s="20" t="s">
        <v>19</v>
      </c>
      <c r="D18" s="17">
        <v>0.308</v>
      </c>
      <c r="E18" s="20">
        <v>1.46</v>
      </c>
      <c r="F18" s="19">
        <f t="shared" si="1"/>
        <v>0.44968</v>
      </c>
      <c r="I18" s="19"/>
      <c r="L18" s="19"/>
      <c r="M18" s="20">
        <v>-0.061</v>
      </c>
      <c r="N18" s="20">
        <f>0.22*E18</f>
        <v>0.3212</v>
      </c>
      <c r="O18" s="19"/>
      <c r="P18" s="20">
        <v>-0.0412</v>
      </c>
      <c r="Q18" s="20">
        <f>0.22*E18</f>
        <v>0.3212</v>
      </c>
      <c r="R18" s="19">
        <f t="shared" si="21"/>
        <v>-0.01323344</v>
      </c>
      <c r="S18" s="20">
        <v>0.0249</v>
      </c>
      <c r="T18" s="20">
        <f>0.22*E18</f>
        <v>0.3212</v>
      </c>
      <c r="U18" s="19">
        <f t="shared" si="22"/>
        <v>0.00799788</v>
      </c>
      <c r="V18" s="20">
        <v>0.545</v>
      </c>
      <c r="W18" s="20">
        <f>0.22*E18</f>
        <v>0.3212</v>
      </c>
      <c r="X18" s="19">
        <f t="shared" si="20"/>
        <v>0.175054</v>
      </c>
      <c r="Y18" s="20">
        <v>0.0</v>
      </c>
      <c r="Z18" s="20">
        <f>0.12*E18</f>
        <v>0.1752</v>
      </c>
      <c r="AA18" s="20">
        <v>0.0</v>
      </c>
      <c r="AB18" s="22">
        <f t="shared" si="9"/>
        <v>0.61949844</v>
      </c>
    </row>
    <row r="19" ht="14.25" customHeight="1">
      <c r="B19" s="18"/>
      <c r="D19" s="17"/>
      <c r="F19" s="19"/>
      <c r="I19" s="19"/>
      <c r="L19" s="19"/>
      <c r="O19" s="19"/>
      <c r="R19" s="19"/>
      <c r="U19" s="19"/>
      <c r="X19" s="19"/>
      <c r="AB19" s="22"/>
    </row>
    <row r="20" ht="14.25" customHeight="1">
      <c r="B20" s="27" t="s">
        <v>26</v>
      </c>
      <c r="D20" s="17"/>
      <c r="F20" s="19"/>
      <c r="I20" s="19"/>
      <c r="L20" s="19"/>
      <c r="O20" s="19"/>
      <c r="R20" s="19"/>
      <c r="U20" s="19"/>
      <c r="X20" s="19"/>
      <c r="AB20" s="22"/>
    </row>
    <row r="21" ht="14.25" customHeight="1">
      <c r="B21" s="26" t="s">
        <v>27</v>
      </c>
      <c r="C21" s="20" t="s">
        <v>19</v>
      </c>
      <c r="D21" s="17">
        <v>0.0658</v>
      </c>
      <c r="E21" s="20">
        <f>0.001+0.141+0.16</f>
        <v>0.302</v>
      </c>
      <c r="F21" s="19">
        <f t="shared" ref="F21:F28" si="23">D21*E21</f>
        <v>0.0198716</v>
      </c>
      <c r="I21" s="19"/>
      <c r="L21" s="19"/>
      <c r="O21" s="19"/>
      <c r="R21" s="19"/>
      <c r="U21" s="19"/>
      <c r="X21" s="19"/>
      <c r="AB21" s="22">
        <f t="shared" ref="AB21:AB28" si="24">F21+L21+I21+O21+R21+U21+X21+AA21</f>
        <v>0.0198716</v>
      </c>
    </row>
    <row r="22" ht="14.25" customHeight="1">
      <c r="B22" s="26" t="s">
        <v>52</v>
      </c>
      <c r="C22" s="20" t="s">
        <v>19</v>
      </c>
      <c r="D22" s="17">
        <v>0.0274</v>
      </c>
      <c r="E22" s="20">
        <f>0.0525+0.05+0.1</f>
        <v>0.2025</v>
      </c>
      <c r="F22" s="19">
        <f t="shared" si="23"/>
        <v>0.0055485</v>
      </c>
      <c r="I22" s="19"/>
      <c r="L22" s="19"/>
      <c r="O22" s="19"/>
      <c r="R22" s="19"/>
      <c r="U22" s="19"/>
      <c r="X22" s="19"/>
      <c r="AB22" s="22">
        <f t="shared" si="24"/>
        <v>0.0055485</v>
      </c>
    </row>
    <row r="23" ht="14.25" customHeight="1">
      <c r="B23" s="26" t="s">
        <v>53</v>
      </c>
      <c r="C23" s="20" t="s">
        <v>19</v>
      </c>
      <c r="D23" s="17">
        <v>0.0274</v>
      </c>
      <c r="E23" s="20">
        <v>0.001</v>
      </c>
      <c r="F23" s="19">
        <f t="shared" si="23"/>
        <v>0.0000274</v>
      </c>
      <c r="I23" s="19"/>
      <c r="L23" s="19"/>
      <c r="O23" s="19"/>
      <c r="R23" s="19"/>
      <c r="U23" s="19"/>
      <c r="X23" s="19"/>
      <c r="AB23" s="22">
        <f t="shared" si="24"/>
        <v>0.0000274</v>
      </c>
    </row>
    <row r="24" ht="14.25" customHeight="1">
      <c r="B24" s="26" t="s">
        <v>54</v>
      </c>
      <c r="C24" s="20" t="s">
        <v>19</v>
      </c>
      <c r="D24" s="17">
        <v>0.0658</v>
      </c>
      <c r="E24" s="20">
        <v>0.20851</v>
      </c>
      <c r="F24" s="19">
        <f t="shared" si="23"/>
        <v>0.013719958</v>
      </c>
      <c r="I24" s="19"/>
      <c r="L24" s="19"/>
      <c r="O24" s="19"/>
      <c r="R24" s="19"/>
      <c r="U24" s="19"/>
      <c r="X24" s="19"/>
      <c r="AB24" s="22">
        <f t="shared" si="24"/>
        <v>0.013719958</v>
      </c>
    </row>
    <row r="25" ht="14.25" customHeight="1">
      <c r="B25" s="26" t="s">
        <v>55</v>
      </c>
      <c r="C25" s="20" t="s">
        <v>19</v>
      </c>
      <c r="D25" s="17">
        <v>0.0658</v>
      </c>
      <c r="E25" s="20">
        <v>0.1</v>
      </c>
      <c r="F25" s="19">
        <f t="shared" si="23"/>
        <v>0.00658</v>
      </c>
      <c r="I25" s="19"/>
      <c r="L25" s="19"/>
      <c r="O25" s="19"/>
      <c r="R25" s="19"/>
      <c r="U25" s="19"/>
      <c r="X25" s="19"/>
      <c r="AB25" s="22">
        <f t="shared" si="24"/>
        <v>0.00658</v>
      </c>
    </row>
    <row r="26" ht="14.25" customHeight="1">
      <c r="B26" s="26" t="s">
        <v>56</v>
      </c>
      <c r="C26" s="20" t="s">
        <v>19</v>
      </c>
      <c r="D26" s="17">
        <v>0.0658</v>
      </c>
      <c r="E26" s="20">
        <f>0.01+0.1343+0.0006</f>
        <v>0.1449</v>
      </c>
      <c r="F26" s="19">
        <f t="shared" si="23"/>
        <v>0.00953442</v>
      </c>
      <c r="I26" s="19"/>
      <c r="L26" s="19"/>
      <c r="O26" s="19"/>
      <c r="R26" s="19"/>
      <c r="U26" s="19"/>
      <c r="X26" s="19"/>
      <c r="AB26" s="22">
        <f t="shared" si="24"/>
        <v>0.00953442</v>
      </c>
    </row>
    <row r="27" ht="14.25" customHeight="1">
      <c r="B27" s="26" t="s">
        <v>69</v>
      </c>
      <c r="C27" s="20" t="s">
        <v>19</v>
      </c>
      <c r="D27" s="17">
        <v>0.0274</v>
      </c>
      <c r="E27" s="20">
        <v>0.2277</v>
      </c>
      <c r="F27" s="19">
        <f t="shared" si="23"/>
        <v>0.00623898</v>
      </c>
      <c r="I27" s="19"/>
      <c r="L27" s="19"/>
      <c r="O27" s="19"/>
      <c r="R27" s="19"/>
      <c r="U27" s="19"/>
      <c r="X27" s="19"/>
      <c r="AB27" s="22">
        <f t="shared" si="24"/>
        <v>0.00623898</v>
      </c>
    </row>
    <row r="28" ht="14.25" customHeight="1">
      <c r="B28" s="26" t="s">
        <v>70</v>
      </c>
      <c r="C28" s="20" t="s">
        <v>19</v>
      </c>
      <c r="D28" s="17">
        <v>0.0274</v>
      </c>
      <c r="E28" s="20">
        <f>0.90594/3</f>
        <v>0.30198</v>
      </c>
      <c r="F28" s="19">
        <f t="shared" si="23"/>
        <v>0.008274252</v>
      </c>
      <c r="I28" s="19"/>
      <c r="L28" s="19"/>
      <c r="O28" s="19"/>
      <c r="R28" s="19"/>
      <c r="U28" s="19"/>
      <c r="X28" s="19"/>
      <c r="AB28" s="22">
        <f t="shared" si="24"/>
        <v>0.008274252</v>
      </c>
    </row>
    <row r="29" ht="14.25" customHeight="1">
      <c r="B29" s="30"/>
      <c r="C29" s="20"/>
      <c r="D29" s="17"/>
      <c r="F29" s="19"/>
      <c r="I29" s="19"/>
      <c r="L29" s="19"/>
      <c r="O29" s="19"/>
      <c r="R29" s="19"/>
      <c r="U29" s="19"/>
      <c r="X29" s="19"/>
      <c r="AB29" s="22"/>
    </row>
    <row r="30" ht="14.25" customHeight="1">
      <c r="B30" s="27" t="s">
        <v>29</v>
      </c>
      <c r="C30" s="20"/>
      <c r="D30" s="17"/>
      <c r="F30" s="19"/>
      <c r="I30" s="19"/>
      <c r="L30" s="19"/>
      <c r="O30" s="19"/>
      <c r="R30" s="19"/>
      <c r="U30" s="19"/>
      <c r="X30" s="19"/>
      <c r="AB30" s="22"/>
    </row>
    <row r="31" ht="14.25" customHeight="1">
      <c r="B31" s="26" t="s">
        <v>30</v>
      </c>
      <c r="C31" s="20" t="s">
        <v>19</v>
      </c>
      <c r="D31" s="17"/>
      <c r="F31" s="19"/>
      <c r="G31" s="77">
        <v>8.19E-5</v>
      </c>
      <c r="H31" s="77">
        <f>1.5*3*365</f>
        <v>1642.5</v>
      </c>
      <c r="I31" s="78">
        <f t="shared" ref="I31:I32" si="25">H31*G31</f>
        <v>0.13452075</v>
      </c>
      <c r="L31" s="19"/>
      <c r="O31" s="19"/>
      <c r="R31" s="19"/>
      <c r="U31" s="19"/>
      <c r="X31" s="19"/>
      <c r="AB31" s="22">
        <f>F31+L31+I31+O31+R31+U31+X31+AA31</f>
        <v>0.13452075</v>
      </c>
    </row>
    <row r="32" ht="14.25" customHeight="1">
      <c r="B32" s="26" t="s">
        <v>31</v>
      </c>
      <c r="C32" s="20" t="s">
        <v>19</v>
      </c>
      <c r="D32" s="17"/>
      <c r="G32" s="86">
        <v>2.0</v>
      </c>
      <c r="H32" s="79">
        <f>H31*50/1000</f>
        <v>82.125</v>
      </c>
      <c r="I32" s="78">
        <f t="shared" si="25"/>
        <v>164.25</v>
      </c>
      <c r="L32" s="19"/>
      <c r="O32" s="19"/>
      <c r="R32" s="19"/>
      <c r="U32" s="19"/>
      <c r="X32" s="19"/>
      <c r="AB32" s="22">
        <f>F34+L32+I32+O32+R32+U32+X32+AA32</f>
        <v>164.25</v>
      </c>
    </row>
    <row r="33" ht="14.25" customHeight="1">
      <c r="B33" s="26" t="s">
        <v>71</v>
      </c>
      <c r="C33" s="20" t="s">
        <v>19</v>
      </c>
      <c r="D33" s="17"/>
      <c r="G33" s="77">
        <v>0.308</v>
      </c>
      <c r="H33" s="79">
        <v>1.216</v>
      </c>
      <c r="I33" s="78">
        <f>G33*H33</f>
        <v>0.374528</v>
      </c>
      <c r="L33" s="19"/>
      <c r="M33" s="20"/>
      <c r="O33" s="19"/>
      <c r="P33" s="20"/>
      <c r="R33" s="19"/>
      <c r="S33" s="20"/>
      <c r="U33" s="19"/>
      <c r="V33" s="20">
        <v>0.545</v>
      </c>
      <c r="X33" s="19"/>
      <c r="Y33" s="20">
        <v>0.0</v>
      </c>
      <c r="AB33" s="22"/>
    </row>
    <row r="34" ht="14.25" customHeight="1">
      <c r="B34" s="26" t="s">
        <v>32</v>
      </c>
      <c r="C34" s="20" t="s">
        <v>33</v>
      </c>
      <c r="D34" s="17"/>
      <c r="F34" s="19"/>
      <c r="G34" s="80">
        <v>0.076</v>
      </c>
      <c r="H34" s="77">
        <v>100.0</v>
      </c>
      <c r="I34" s="78">
        <f t="shared" ref="I34:I36" si="26">H34*G34</f>
        <v>7.6</v>
      </c>
      <c r="L34" s="19"/>
      <c r="O34" s="19"/>
      <c r="R34" s="19"/>
      <c r="U34" s="19"/>
      <c r="X34" s="19"/>
      <c r="AB34" s="22">
        <f t="shared" ref="AB34:AB35" si="27">F36+L34+I34+O34+R34+U34+X34+AA34</f>
        <v>7.6</v>
      </c>
    </row>
    <row r="35" ht="14.25" customHeight="1">
      <c r="B35" s="23" t="s">
        <v>34</v>
      </c>
      <c r="C35" s="20" t="s">
        <v>35</v>
      </c>
      <c r="D35" s="17"/>
      <c r="F35" s="19"/>
      <c r="G35" s="80">
        <v>0.068</v>
      </c>
      <c r="H35" s="77">
        <v>100.0</v>
      </c>
      <c r="I35" s="78">
        <f t="shared" si="26"/>
        <v>6.8</v>
      </c>
      <c r="L35" s="19"/>
      <c r="O35" s="19"/>
      <c r="R35" s="19"/>
      <c r="U35" s="19"/>
      <c r="X35" s="19"/>
      <c r="AB35" s="22">
        <f t="shared" si="27"/>
        <v>6.8</v>
      </c>
    </row>
    <row r="36" ht="14.25" customHeight="1">
      <c r="B36" s="23" t="s">
        <v>36</v>
      </c>
      <c r="C36" s="20" t="s">
        <v>37</v>
      </c>
      <c r="D36" s="17"/>
      <c r="F36" s="19"/>
      <c r="G36" s="77">
        <v>0.166</v>
      </c>
      <c r="H36" s="77">
        <v>2.0</v>
      </c>
      <c r="I36" s="78">
        <f t="shared" si="26"/>
        <v>0.332</v>
      </c>
      <c r="L36" s="19"/>
      <c r="O36" s="19"/>
      <c r="R36" s="19"/>
      <c r="U36" s="19"/>
      <c r="V36" s="20"/>
      <c r="W36" s="20"/>
      <c r="X36" s="19"/>
      <c r="AB36" s="22">
        <f>L36+I36+O36+R36+U36+X36+AA36</f>
        <v>0.332</v>
      </c>
    </row>
    <row r="37">
      <c r="D37" s="17"/>
      <c r="F37" s="19"/>
      <c r="I37" s="19"/>
      <c r="L37" s="19"/>
      <c r="O37" s="19"/>
      <c r="R37" s="19"/>
      <c r="U37" s="19"/>
      <c r="X37" s="31"/>
      <c r="AB37" s="22"/>
    </row>
    <row r="38" ht="14.25" customHeight="1">
      <c r="B38" s="32" t="s">
        <v>38</v>
      </c>
      <c r="C38" s="32"/>
      <c r="D38" s="33"/>
      <c r="E38" s="32"/>
      <c r="F38" s="22">
        <f>SUM(F7:F33)</f>
        <v>29.49008811</v>
      </c>
      <c r="G38" s="32"/>
      <c r="H38" s="32"/>
      <c r="I38" s="34">
        <f>SUM(I7:I36)</f>
        <v>179.4910488</v>
      </c>
      <c r="J38" s="32"/>
      <c r="K38" s="32"/>
      <c r="L38" s="22">
        <f>SUM(L7:L36)</f>
        <v>-2.6784</v>
      </c>
      <c r="M38" s="32"/>
      <c r="N38" s="32"/>
      <c r="O38" s="22">
        <f>SUM(O7:O36)</f>
        <v>-13.17458094</v>
      </c>
      <c r="P38" s="32"/>
      <c r="Q38" s="32"/>
      <c r="R38" s="22">
        <f>SUM(R7:R36)</f>
        <v>-0.006382164</v>
      </c>
      <c r="S38" s="32"/>
      <c r="T38" s="32"/>
      <c r="U38" s="22">
        <f>SUM(U7:U36)</f>
        <v>0.013824606</v>
      </c>
      <c r="V38" s="32"/>
      <c r="W38" s="32"/>
      <c r="X38" s="22">
        <f>SUM(X7:X36)</f>
        <v>0.2431657131</v>
      </c>
      <c r="Y38" s="32"/>
      <c r="Z38" s="32"/>
      <c r="AA38" s="22">
        <f t="shared" ref="AA38:AB38" si="28">SUM(AA7:AA36)</f>
        <v>0.0002606</v>
      </c>
      <c r="AB38" s="22">
        <f t="shared" si="28"/>
        <v>193.0044967</v>
      </c>
    </row>
    <row r="39" ht="14.25" customHeight="1">
      <c r="B39" s="35"/>
      <c r="C39" s="35"/>
      <c r="D39" s="35"/>
      <c r="E39" s="35"/>
      <c r="F39" s="21"/>
      <c r="G39" s="35"/>
    </row>
    <row r="40" ht="14.25" customHeight="1">
      <c r="B40" s="81" t="s">
        <v>59</v>
      </c>
    </row>
    <row r="41" ht="14.25" customHeight="1">
      <c r="B41" s="83" t="s">
        <v>60</v>
      </c>
    </row>
    <row r="42" ht="14.25" customHeight="1">
      <c r="S42" s="84"/>
      <c r="T42" s="84"/>
      <c r="U42" s="84"/>
      <c r="V42" s="84"/>
      <c r="W42" s="84"/>
      <c r="X42" s="84"/>
      <c r="Y42" s="84"/>
      <c r="Z42" s="84"/>
      <c r="AA42" s="84"/>
      <c r="AB42" s="84"/>
    </row>
    <row r="43" ht="14.25" customHeight="1">
      <c r="S43" s="84"/>
      <c r="T43" s="84"/>
      <c r="U43" s="84"/>
      <c r="V43" s="84"/>
      <c r="W43" s="84"/>
      <c r="X43" s="84"/>
      <c r="Y43" s="84"/>
      <c r="Z43" s="84"/>
      <c r="AA43" s="84"/>
      <c r="AB43" s="84"/>
    </row>
    <row r="44" ht="14.25" customHeight="1">
      <c r="S44" s="84"/>
      <c r="T44" s="84"/>
      <c r="U44" s="84"/>
      <c r="V44" s="84"/>
      <c r="W44" s="84"/>
      <c r="X44" s="84"/>
      <c r="Y44" s="84"/>
      <c r="Z44" s="84"/>
      <c r="AA44" s="84"/>
      <c r="AB44" s="84"/>
    </row>
    <row r="45" ht="14.25" customHeight="1">
      <c r="B45" s="87"/>
      <c r="C45" s="84"/>
      <c r="D45" s="84"/>
      <c r="E45" s="84"/>
      <c r="F45" s="84"/>
      <c r="G45" s="84"/>
      <c r="H45" s="84"/>
      <c r="I45" s="84"/>
      <c r="J45" s="84"/>
      <c r="K45" s="84"/>
      <c r="L45" s="84"/>
      <c r="M45" s="84"/>
      <c r="N45" s="84"/>
      <c r="O45" s="84"/>
      <c r="P45" s="84"/>
      <c r="Q45" s="84"/>
      <c r="R45" s="84"/>
      <c r="S45" s="84"/>
      <c r="T45" s="84"/>
      <c r="U45" s="84"/>
      <c r="V45" s="84"/>
      <c r="W45" s="84"/>
      <c r="X45" s="84"/>
      <c r="Y45" s="84"/>
      <c r="Z45" s="84"/>
      <c r="AA45" s="84"/>
      <c r="AB45" s="84"/>
    </row>
    <row r="46" ht="14.25" customHeight="1">
      <c r="B46" s="84"/>
      <c r="C46" s="84"/>
      <c r="D46" s="36" t="s">
        <v>72</v>
      </c>
      <c r="E46" s="37"/>
      <c r="F46" s="38"/>
      <c r="G46" s="84"/>
      <c r="H46" s="84"/>
      <c r="I46" s="84"/>
      <c r="J46" s="84"/>
      <c r="K46" s="84"/>
      <c r="L46" s="84"/>
      <c r="M46" s="84"/>
      <c r="N46" s="84"/>
      <c r="O46" s="84"/>
      <c r="P46" s="84"/>
      <c r="Q46" s="84"/>
      <c r="R46" s="84"/>
      <c r="S46" s="84"/>
      <c r="T46" s="84"/>
      <c r="U46" s="84"/>
      <c r="V46" s="84"/>
      <c r="W46" s="84"/>
      <c r="X46" s="84"/>
      <c r="Y46" s="84"/>
      <c r="Z46" s="84"/>
      <c r="AA46" s="84"/>
      <c r="AB46" s="84"/>
    </row>
    <row r="47" ht="14.25" customHeight="1">
      <c r="B47" s="84"/>
      <c r="C47" s="84"/>
      <c r="D47" s="46"/>
      <c r="F47" s="47"/>
      <c r="G47" s="84"/>
      <c r="H47" s="84"/>
      <c r="I47" s="84"/>
      <c r="J47" s="84"/>
      <c r="K47" s="84"/>
      <c r="L47" s="84"/>
      <c r="M47" s="84"/>
      <c r="N47" s="84"/>
      <c r="O47" s="84"/>
      <c r="P47" s="84"/>
      <c r="Q47" s="84"/>
      <c r="R47" s="84"/>
      <c r="S47" s="84"/>
      <c r="T47" s="84"/>
      <c r="U47" s="84"/>
      <c r="V47" s="84"/>
      <c r="W47" s="84"/>
      <c r="X47" s="84"/>
      <c r="Y47" s="84"/>
      <c r="Z47" s="84"/>
      <c r="AA47" s="84"/>
      <c r="AB47" s="84"/>
    </row>
    <row r="48" ht="14.25" customHeight="1">
      <c r="B48" s="84"/>
      <c r="C48" s="84"/>
      <c r="D48" s="46"/>
      <c r="F48" s="47"/>
      <c r="G48" s="84"/>
      <c r="H48" s="84"/>
      <c r="I48" s="84"/>
      <c r="J48" s="84"/>
      <c r="K48" s="84"/>
      <c r="L48" s="84"/>
      <c r="M48" s="84"/>
      <c r="N48" s="84"/>
      <c r="O48" s="84"/>
      <c r="P48" s="84"/>
      <c r="Q48" s="84"/>
      <c r="R48" s="84"/>
      <c r="S48" s="84"/>
      <c r="T48" s="84"/>
      <c r="U48" s="84"/>
      <c r="V48" s="84"/>
      <c r="W48" s="84"/>
      <c r="X48" s="84"/>
      <c r="Y48" s="84"/>
      <c r="Z48" s="84"/>
      <c r="AA48" s="84"/>
      <c r="AB48" s="84"/>
    </row>
    <row r="49" ht="14.25" customHeight="1">
      <c r="D49" s="46"/>
      <c r="F49" s="47"/>
    </row>
    <row r="50" ht="14.25" customHeight="1">
      <c r="D50" s="46"/>
      <c r="F50" s="47"/>
    </row>
    <row r="51" ht="14.25" customHeight="1">
      <c r="D51" s="46"/>
      <c r="F51" s="47"/>
    </row>
    <row r="52" ht="14.25" customHeight="1">
      <c r="D52" s="46"/>
      <c r="F52" s="47"/>
    </row>
    <row r="53" ht="14.25" customHeight="1">
      <c r="D53" s="46"/>
      <c r="F53" s="47"/>
    </row>
    <row r="54" ht="14.25" customHeight="1">
      <c r="D54" s="46"/>
      <c r="F54" s="47"/>
    </row>
    <row r="55" ht="14.25" customHeight="1">
      <c r="D55" s="46"/>
      <c r="F55" s="47"/>
    </row>
    <row r="56" ht="14.25" customHeight="1">
      <c r="D56" s="46"/>
      <c r="F56" s="47"/>
    </row>
    <row r="57" ht="14.25" customHeight="1">
      <c r="D57" s="46"/>
      <c r="F57" s="47"/>
    </row>
    <row r="58" ht="14.25" customHeight="1">
      <c r="D58" s="46"/>
      <c r="F58" s="47"/>
    </row>
    <row r="59" ht="14.25" customHeight="1">
      <c r="D59" s="46"/>
      <c r="F59" s="47"/>
    </row>
    <row r="60" ht="14.25" customHeight="1">
      <c r="D60" s="46"/>
      <c r="F60" s="47"/>
    </row>
    <row r="61" ht="14.25" customHeight="1">
      <c r="D61" s="46"/>
      <c r="F61" s="47"/>
    </row>
    <row r="62" ht="14.25" customHeight="1">
      <c r="D62" s="46"/>
      <c r="F62" s="47"/>
    </row>
    <row r="63" ht="14.25" customHeight="1">
      <c r="D63" s="46"/>
      <c r="F63" s="47"/>
    </row>
    <row r="64" ht="14.25" customHeight="1">
      <c r="D64" s="46"/>
      <c r="F64" s="47"/>
    </row>
    <row r="65" ht="14.25" customHeight="1">
      <c r="D65" s="46"/>
      <c r="F65" s="47"/>
    </row>
    <row r="66" ht="14.25" customHeight="1">
      <c r="D66" s="46"/>
      <c r="F66" s="47"/>
    </row>
    <row r="67" ht="14.25" customHeight="1">
      <c r="D67" s="55"/>
      <c r="E67" s="56"/>
      <c r="F67" s="57"/>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sheetData>
  <mergeCells count="16">
    <mergeCell ref="J4:L4"/>
    <mergeCell ref="M4:O4"/>
    <mergeCell ref="P4:R4"/>
    <mergeCell ref="S4:U4"/>
    <mergeCell ref="V4:X4"/>
    <mergeCell ref="Y4:AA4"/>
    <mergeCell ref="D46:F67"/>
    <mergeCell ref="B40:AB40"/>
    <mergeCell ref="B41:R44"/>
    <mergeCell ref="B2:AB2"/>
    <mergeCell ref="D3:F3"/>
    <mergeCell ref="G3:I3"/>
    <mergeCell ref="J3:AA3"/>
    <mergeCell ref="AB3:AB4"/>
    <mergeCell ref="D4:F4"/>
    <mergeCell ref="G4:I4"/>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2021-11-23T11:16:53Z</dcterms:created>
  <dc:creator>SESE</dc:creator>
</cp:coreProperties>
</file>