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76d221f99dfe98/Desktop/"/>
    </mc:Choice>
  </mc:AlternateContent>
  <xr:revisionPtr revIDLastSave="0" documentId="14_{7BFACF23-7124-4FCC-B9FE-541767DFC2FB}" xr6:coauthVersionLast="47" xr6:coauthVersionMax="47" xr10:uidLastSave="{00000000-0000-0000-0000-000000000000}"/>
  <bookViews>
    <workbookView xWindow="-108" yWindow="-108" windowWidth="23256" windowHeight="12456" firstSheet="3" activeTab="4" xr2:uid="{698488A8-2D5B-47D0-8926-FF05373253DC}"/>
  </bookViews>
  <sheets>
    <sheet name="Cash Flow Data" sheetId="6" r:id="rId1"/>
    <sheet name="Data Sheet" sheetId="1" r:id="rId2"/>
    <sheet name="Historical FS" sheetId="4" r:id="rId3"/>
    <sheet name="Ratio Analysis" sheetId="7" r:id="rId4"/>
    <sheet name="Sheet1" sheetId="8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" i="8" l="1"/>
  <c r="N17" i="8"/>
  <c r="N16" i="8"/>
  <c r="N15" i="8"/>
  <c r="N14" i="8"/>
  <c r="N4" i="8" a="1"/>
  <c r="N6" i="8" s="1"/>
  <c r="N4" i="8"/>
  <c r="N5" i="8"/>
  <c r="N9" i="8"/>
  <c r="N10" i="8"/>
  <c r="N11" i="8"/>
  <c r="N12" i="8"/>
  <c r="N13" i="8"/>
  <c r="L2" i="8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L5" i="8"/>
  <c r="L6" i="8" s="1"/>
  <c r="L7" i="8" s="1"/>
  <c r="L8" i="8" s="1"/>
  <c r="L9" i="8" s="1"/>
  <c r="L10" i="8" s="1"/>
  <c r="L11" i="8" s="1"/>
  <c r="L12" i="8" s="1"/>
  <c r="L13" i="8" s="1"/>
  <c r="L14" i="8" s="1"/>
  <c r="I18" i="8"/>
  <c r="I17" i="8"/>
  <c r="I16" i="8"/>
  <c r="I15" i="8"/>
  <c r="I14" i="8"/>
  <c r="I4" i="8" a="1"/>
  <c r="I7" i="8" s="1"/>
  <c r="I4" i="8"/>
  <c r="I5" i="8"/>
  <c r="I6" i="8"/>
  <c r="G2" i="8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B2" i="8"/>
  <c r="G5" i="8"/>
  <c r="G6" i="8" s="1"/>
  <c r="G7" i="8" s="1"/>
  <c r="G8" i="8" s="1"/>
  <c r="G9" i="8" s="1"/>
  <c r="G10" i="8" s="1"/>
  <c r="G11" i="8" s="1"/>
  <c r="G12" i="8" s="1"/>
  <c r="G13" i="8" s="1"/>
  <c r="G14" i="8" s="1"/>
  <c r="E5" i="8"/>
  <c r="D4" i="8" a="1"/>
  <c r="D4" i="8" s="1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4" i="8"/>
  <c r="N8" i="8" l="1"/>
  <c r="O8" i="8" s="1"/>
  <c r="N7" i="8"/>
  <c r="L15" i="8"/>
  <c r="O14" i="8"/>
  <c r="O6" i="8"/>
  <c r="O13" i="8"/>
  <c r="O7" i="8"/>
  <c r="O10" i="8"/>
  <c r="I13" i="8"/>
  <c r="J13" i="8" s="1"/>
  <c r="I12" i="8"/>
  <c r="I11" i="8"/>
  <c r="J12" i="8" s="1"/>
  <c r="I10" i="8"/>
  <c r="J10" i="8" s="1"/>
  <c r="I9" i="8"/>
  <c r="I8" i="8"/>
  <c r="G15" i="8"/>
  <c r="J5" i="8"/>
  <c r="J6" i="8"/>
  <c r="J7" i="8"/>
  <c r="J8" i="8"/>
  <c r="J9" i="8"/>
  <c r="D13" i="8"/>
  <c r="D12" i="8"/>
  <c r="D11" i="8"/>
  <c r="D10" i="8"/>
  <c r="D9" i="8"/>
  <c r="D8" i="8"/>
  <c r="D7" i="8"/>
  <c r="D6" i="8"/>
  <c r="D5" i="8"/>
  <c r="O11" i="8" l="1"/>
  <c r="O9" i="8"/>
  <c r="O5" i="8"/>
  <c r="O12" i="8"/>
  <c r="L16" i="8"/>
  <c r="O15" i="8"/>
  <c r="J14" i="8"/>
  <c r="J11" i="8"/>
  <c r="J15" i="8"/>
  <c r="G16" i="8"/>
  <c r="L17" i="8" l="1"/>
  <c r="O16" i="8"/>
  <c r="G17" i="8"/>
  <c r="J16" i="8"/>
  <c r="E13" i="8"/>
  <c r="E12" i="8"/>
  <c r="E11" i="8"/>
  <c r="E10" i="8"/>
  <c r="E9" i="8"/>
  <c r="E8" i="8"/>
  <c r="E7" i="8"/>
  <c r="E6" i="8"/>
  <c r="B5" i="8"/>
  <c r="B6" i="8" s="1"/>
  <c r="B7" i="8" s="1"/>
  <c r="B8" i="8" s="1"/>
  <c r="B9" i="8" s="1"/>
  <c r="B10" i="8" s="1"/>
  <c r="B11" i="8" s="1"/>
  <c r="B12" i="8" s="1"/>
  <c r="B13" i="8" s="1"/>
  <c r="B14" i="8" s="1"/>
  <c r="L18" i="8" l="1"/>
  <c r="O17" i="8"/>
  <c r="G18" i="8"/>
  <c r="J18" i="8" s="1"/>
  <c r="J17" i="8"/>
  <c r="B15" i="8"/>
  <c r="D14" i="8"/>
  <c r="E14" i="8" s="1"/>
  <c r="O40" i="7"/>
  <c r="O39" i="7"/>
  <c r="O38" i="7"/>
  <c r="O36" i="7"/>
  <c r="O35" i="7"/>
  <c r="O34" i="7"/>
  <c r="O33" i="7"/>
  <c r="O31" i="7"/>
  <c r="O30" i="7"/>
  <c r="O29" i="7"/>
  <c r="O28" i="7"/>
  <c r="O27" i="7"/>
  <c r="O25" i="7"/>
  <c r="O24" i="7"/>
  <c r="O23" i="7"/>
  <c r="O22" i="7"/>
  <c r="O21" i="7"/>
  <c r="O19" i="7"/>
  <c r="O18" i="7"/>
  <c r="O17" i="7"/>
  <c r="O15" i="7"/>
  <c r="O14" i="7"/>
  <c r="O13" i="7"/>
  <c r="O12" i="7"/>
  <c r="O11" i="7"/>
  <c r="O9" i="7"/>
  <c r="O8" i="7"/>
  <c r="O7" i="7"/>
  <c r="O6" i="7"/>
  <c r="O5" i="7"/>
  <c r="N40" i="7"/>
  <c r="N39" i="7"/>
  <c r="N38" i="7"/>
  <c r="N36" i="7"/>
  <c r="N35" i="7"/>
  <c r="N34" i="7"/>
  <c r="N33" i="7"/>
  <c r="N31" i="7"/>
  <c r="N30" i="7"/>
  <c r="N29" i="7"/>
  <c r="N28" i="7"/>
  <c r="N27" i="7"/>
  <c r="N25" i="7"/>
  <c r="N24" i="7"/>
  <c r="N23" i="7"/>
  <c r="N22" i="7"/>
  <c r="N21" i="7"/>
  <c r="N19" i="7"/>
  <c r="N18" i="7"/>
  <c r="N17" i="7"/>
  <c r="N15" i="7"/>
  <c r="N14" i="7"/>
  <c r="N13" i="7"/>
  <c r="N12" i="7"/>
  <c r="N11" i="7"/>
  <c r="N9" i="7"/>
  <c r="N8" i="7"/>
  <c r="N7" i="7"/>
  <c r="N6" i="7"/>
  <c r="N5" i="7"/>
  <c r="L40" i="7"/>
  <c r="K40" i="7"/>
  <c r="J40" i="7"/>
  <c r="I40" i="7"/>
  <c r="H40" i="7"/>
  <c r="G40" i="7"/>
  <c r="F40" i="7"/>
  <c r="E40" i="7"/>
  <c r="D40" i="7"/>
  <c r="C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C39" i="7"/>
  <c r="C38" i="7"/>
  <c r="L35" i="7"/>
  <c r="L36" i="7" s="1"/>
  <c r="K35" i="7"/>
  <c r="J35" i="7"/>
  <c r="I35" i="7"/>
  <c r="H35" i="7"/>
  <c r="G35" i="7"/>
  <c r="F35" i="7"/>
  <c r="E35" i="7"/>
  <c r="D35" i="7"/>
  <c r="L34" i="7"/>
  <c r="K34" i="7"/>
  <c r="K36" i="7" s="1"/>
  <c r="J34" i="7"/>
  <c r="J36" i="7" s="1"/>
  <c r="I34" i="7"/>
  <c r="I36" i="7" s="1"/>
  <c r="H34" i="7"/>
  <c r="H36" i="7" s="1"/>
  <c r="G34" i="7"/>
  <c r="G36" i="7" s="1"/>
  <c r="F34" i="7"/>
  <c r="F36" i="7" s="1"/>
  <c r="E34" i="7"/>
  <c r="D34" i="7"/>
  <c r="L33" i="7"/>
  <c r="K33" i="7"/>
  <c r="J33" i="7"/>
  <c r="I33" i="7"/>
  <c r="H33" i="7"/>
  <c r="G33" i="7"/>
  <c r="F33" i="7"/>
  <c r="E33" i="7"/>
  <c r="E36" i="7" s="1"/>
  <c r="D33" i="7"/>
  <c r="D36" i="7" s="1"/>
  <c r="C36" i="7"/>
  <c r="C35" i="7"/>
  <c r="C34" i="7"/>
  <c r="C33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L27" i="7"/>
  <c r="K27" i="7"/>
  <c r="J27" i="7"/>
  <c r="I27" i="7"/>
  <c r="H27" i="7"/>
  <c r="G27" i="7"/>
  <c r="F27" i="7"/>
  <c r="E27" i="7"/>
  <c r="D27" i="7"/>
  <c r="C31" i="7"/>
  <c r="C30" i="7"/>
  <c r="C29" i="7"/>
  <c r="C28" i="7"/>
  <c r="C27" i="7"/>
  <c r="L25" i="7"/>
  <c r="K25" i="7"/>
  <c r="J25" i="7"/>
  <c r="I25" i="7"/>
  <c r="H25" i="7"/>
  <c r="G25" i="7"/>
  <c r="F25" i="7"/>
  <c r="E25" i="7"/>
  <c r="D25" i="7"/>
  <c r="C25" i="7"/>
  <c r="L24" i="7"/>
  <c r="D24" i="7"/>
  <c r="L23" i="7"/>
  <c r="K23" i="7"/>
  <c r="K24" i="7" s="1"/>
  <c r="J23" i="7"/>
  <c r="I23" i="7"/>
  <c r="H23" i="7"/>
  <c r="G23" i="7"/>
  <c r="F23" i="7"/>
  <c r="E23" i="7"/>
  <c r="D23" i="7"/>
  <c r="L22" i="7"/>
  <c r="K22" i="7"/>
  <c r="J22" i="7"/>
  <c r="J24" i="7" s="1"/>
  <c r="I22" i="7"/>
  <c r="I24" i="7" s="1"/>
  <c r="H22" i="7"/>
  <c r="H24" i="7" s="1"/>
  <c r="G22" i="7"/>
  <c r="G24" i="7" s="1"/>
  <c r="F22" i="7"/>
  <c r="F24" i="7" s="1"/>
  <c r="E22" i="7"/>
  <c r="E24" i="7" s="1"/>
  <c r="D22" i="7"/>
  <c r="L21" i="7"/>
  <c r="K21" i="7"/>
  <c r="J21" i="7"/>
  <c r="I21" i="7"/>
  <c r="H21" i="7"/>
  <c r="G21" i="7"/>
  <c r="F21" i="7"/>
  <c r="E21" i="7"/>
  <c r="D21" i="7"/>
  <c r="C24" i="7"/>
  <c r="C23" i="7"/>
  <c r="C22" i="7"/>
  <c r="C21" i="7"/>
  <c r="L19" i="7"/>
  <c r="K19" i="7"/>
  <c r="J19" i="7"/>
  <c r="I19" i="7"/>
  <c r="H19" i="7"/>
  <c r="G19" i="7"/>
  <c r="F19" i="7"/>
  <c r="E19" i="7"/>
  <c r="D19" i="7"/>
  <c r="C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C18" i="7"/>
  <c r="C17" i="7"/>
  <c r="L15" i="7"/>
  <c r="K15" i="7"/>
  <c r="J15" i="7"/>
  <c r="I15" i="7"/>
  <c r="H15" i="7"/>
  <c r="G15" i="7"/>
  <c r="F15" i="7"/>
  <c r="E15" i="7"/>
  <c r="D15" i="7"/>
  <c r="C15" i="7"/>
  <c r="M37" i="4"/>
  <c r="L37" i="4"/>
  <c r="K37" i="4"/>
  <c r="J37" i="4"/>
  <c r="I37" i="4"/>
  <c r="H37" i="4"/>
  <c r="G37" i="4"/>
  <c r="F37" i="4"/>
  <c r="E37" i="4"/>
  <c r="D37" i="4"/>
  <c r="C37" i="4"/>
  <c r="O18" i="8" l="1"/>
  <c r="B16" i="8"/>
  <c r="D15" i="8"/>
  <c r="B2" i="7"/>
  <c r="L3" i="7"/>
  <c r="K3" i="7"/>
  <c r="J3" i="7"/>
  <c r="I3" i="7"/>
  <c r="H3" i="7"/>
  <c r="G3" i="7"/>
  <c r="F3" i="7"/>
  <c r="E3" i="7"/>
  <c r="D3" i="7"/>
  <c r="C3" i="7"/>
  <c r="L109" i="4"/>
  <c r="K109" i="4"/>
  <c r="J109" i="4"/>
  <c r="I109" i="4"/>
  <c r="H109" i="4"/>
  <c r="G109" i="4"/>
  <c r="F109" i="4"/>
  <c r="E109" i="4"/>
  <c r="D109" i="4"/>
  <c r="C109" i="4"/>
  <c r="L108" i="4"/>
  <c r="K108" i="4"/>
  <c r="J108" i="4"/>
  <c r="I108" i="4"/>
  <c r="H108" i="4"/>
  <c r="G108" i="4"/>
  <c r="F108" i="4"/>
  <c r="E108" i="4"/>
  <c r="D108" i="4"/>
  <c r="C108" i="4"/>
  <c r="L107" i="4"/>
  <c r="K107" i="4"/>
  <c r="J107" i="4"/>
  <c r="I107" i="4"/>
  <c r="H107" i="4"/>
  <c r="G107" i="4"/>
  <c r="F107" i="4"/>
  <c r="E107" i="4"/>
  <c r="D107" i="4"/>
  <c r="C107" i="4"/>
  <c r="L106" i="4"/>
  <c r="K106" i="4"/>
  <c r="J106" i="4"/>
  <c r="I106" i="4"/>
  <c r="H106" i="4"/>
  <c r="G106" i="4"/>
  <c r="F106" i="4"/>
  <c r="E106" i="4"/>
  <c r="D106" i="4"/>
  <c r="C106" i="4"/>
  <c r="L105" i="4"/>
  <c r="K105" i="4"/>
  <c r="J105" i="4"/>
  <c r="I105" i="4"/>
  <c r="H105" i="4"/>
  <c r="G105" i="4"/>
  <c r="F105" i="4"/>
  <c r="E105" i="4"/>
  <c r="D105" i="4"/>
  <c r="C105" i="4"/>
  <c r="L104" i="4"/>
  <c r="K104" i="4"/>
  <c r="J104" i="4"/>
  <c r="I104" i="4"/>
  <c r="H104" i="4"/>
  <c r="G104" i="4"/>
  <c r="F104" i="4"/>
  <c r="E104" i="4"/>
  <c r="D104" i="4"/>
  <c r="C104" i="4"/>
  <c r="L103" i="4"/>
  <c r="K103" i="4"/>
  <c r="J103" i="4"/>
  <c r="I103" i="4"/>
  <c r="H103" i="4"/>
  <c r="G103" i="4"/>
  <c r="F103" i="4"/>
  <c r="E103" i="4"/>
  <c r="D103" i="4"/>
  <c r="C103" i="4"/>
  <c r="L102" i="4"/>
  <c r="K102" i="4"/>
  <c r="J102" i="4"/>
  <c r="I102" i="4"/>
  <c r="H102" i="4"/>
  <c r="G102" i="4"/>
  <c r="F102" i="4"/>
  <c r="E102" i="4"/>
  <c r="D102" i="4"/>
  <c r="C102" i="4"/>
  <c r="L101" i="4"/>
  <c r="K101" i="4"/>
  <c r="J101" i="4"/>
  <c r="I101" i="4"/>
  <c r="H101" i="4"/>
  <c r="G101" i="4"/>
  <c r="F101" i="4"/>
  <c r="E101" i="4"/>
  <c r="D101" i="4"/>
  <c r="C101" i="4"/>
  <c r="L97" i="4"/>
  <c r="K97" i="4"/>
  <c r="J97" i="4"/>
  <c r="I97" i="4"/>
  <c r="H97" i="4"/>
  <c r="G97" i="4"/>
  <c r="F97" i="4"/>
  <c r="E97" i="4"/>
  <c r="D97" i="4"/>
  <c r="C97" i="4"/>
  <c r="L96" i="4"/>
  <c r="K96" i="4"/>
  <c r="J96" i="4"/>
  <c r="I96" i="4"/>
  <c r="H96" i="4"/>
  <c r="G96" i="4"/>
  <c r="F96" i="4"/>
  <c r="E96" i="4"/>
  <c r="D96" i="4"/>
  <c r="C96" i="4"/>
  <c r="L95" i="4"/>
  <c r="K95" i="4"/>
  <c r="J95" i="4"/>
  <c r="I95" i="4"/>
  <c r="H95" i="4"/>
  <c r="G95" i="4"/>
  <c r="F95" i="4"/>
  <c r="E95" i="4"/>
  <c r="D95" i="4"/>
  <c r="C95" i="4"/>
  <c r="L94" i="4"/>
  <c r="K94" i="4"/>
  <c r="J94" i="4"/>
  <c r="I94" i="4"/>
  <c r="H94" i="4"/>
  <c r="G94" i="4"/>
  <c r="F94" i="4"/>
  <c r="E94" i="4"/>
  <c r="D94" i="4"/>
  <c r="C94" i="4"/>
  <c r="L93" i="4"/>
  <c r="K93" i="4"/>
  <c r="J93" i="4"/>
  <c r="I93" i="4"/>
  <c r="H93" i="4"/>
  <c r="G93" i="4"/>
  <c r="F93" i="4"/>
  <c r="E93" i="4"/>
  <c r="D93" i="4"/>
  <c r="C93" i="4"/>
  <c r="L92" i="4"/>
  <c r="K92" i="4"/>
  <c r="J92" i="4"/>
  <c r="I92" i="4"/>
  <c r="H92" i="4"/>
  <c r="G92" i="4"/>
  <c r="F92" i="4"/>
  <c r="E92" i="4"/>
  <c r="D92" i="4"/>
  <c r="C92" i="4"/>
  <c r="L91" i="4"/>
  <c r="K91" i="4"/>
  <c r="J91" i="4"/>
  <c r="I91" i="4"/>
  <c r="H91" i="4"/>
  <c r="G91" i="4"/>
  <c r="F91" i="4"/>
  <c r="E91" i="4"/>
  <c r="D91" i="4"/>
  <c r="C91" i="4"/>
  <c r="L90" i="4"/>
  <c r="K90" i="4"/>
  <c r="J90" i="4"/>
  <c r="I90" i="4"/>
  <c r="H90" i="4"/>
  <c r="G90" i="4"/>
  <c r="F90" i="4"/>
  <c r="E90" i="4"/>
  <c r="D90" i="4"/>
  <c r="C90" i="4"/>
  <c r="L89" i="4"/>
  <c r="K89" i="4"/>
  <c r="J89" i="4"/>
  <c r="I89" i="4"/>
  <c r="H89" i="4"/>
  <c r="G89" i="4"/>
  <c r="F89" i="4"/>
  <c r="E89" i="4"/>
  <c r="D89" i="4"/>
  <c r="C89" i="4"/>
  <c r="L88" i="4"/>
  <c r="K88" i="4"/>
  <c r="J88" i="4"/>
  <c r="I88" i="4"/>
  <c r="H88" i="4"/>
  <c r="G88" i="4"/>
  <c r="F88" i="4"/>
  <c r="E88" i="4"/>
  <c r="D88" i="4"/>
  <c r="C88" i="4"/>
  <c r="L87" i="4"/>
  <c r="K87" i="4"/>
  <c r="J87" i="4"/>
  <c r="I87" i="4"/>
  <c r="H87" i="4"/>
  <c r="G87" i="4"/>
  <c r="F87" i="4"/>
  <c r="E87" i="4"/>
  <c r="D87" i="4"/>
  <c r="C87" i="4"/>
  <c r="L86" i="4"/>
  <c r="K86" i="4"/>
  <c r="J86" i="4"/>
  <c r="I86" i="4"/>
  <c r="H86" i="4"/>
  <c r="G86" i="4"/>
  <c r="F86" i="4"/>
  <c r="E86" i="4"/>
  <c r="D86" i="4"/>
  <c r="C86" i="4"/>
  <c r="L75" i="4"/>
  <c r="K75" i="4"/>
  <c r="J75" i="4"/>
  <c r="I75" i="4"/>
  <c r="H75" i="4"/>
  <c r="G75" i="4"/>
  <c r="F75" i="4"/>
  <c r="E75" i="4"/>
  <c r="D75" i="4"/>
  <c r="C75" i="4"/>
  <c r="L82" i="4"/>
  <c r="K82" i="4"/>
  <c r="J82" i="4"/>
  <c r="I82" i="4"/>
  <c r="H82" i="4"/>
  <c r="G82" i="4"/>
  <c r="F82" i="4"/>
  <c r="E82" i="4"/>
  <c r="D82" i="4"/>
  <c r="C82" i="4"/>
  <c r="L81" i="4"/>
  <c r="K81" i="4"/>
  <c r="J81" i="4"/>
  <c r="I81" i="4"/>
  <c r="H81" i="4"/>
  <c r="G81" i="4"/>
  <c r="F81" i="4"/>
  <c r="E81" i="4"/>
  <c r="D81" i="4"/>
  <c r="C81" i="4"/>
  <c r="L80" i="4"/>
  <c r="K80" i="4"/>
  <c r="J80" i="4"/>
  <c r="I80" i="4"/>
  <c r="H80" i="4"/>
  <c r="G80" i="4"/>
  <c r="F80" i="4"/>
  <c r="E80" i="4"/>
  <c r="D80" i="4"/>
  <c r="C80" i="4"/>
  <c r="L79" i="4"/>
  <c r="K79" i="4"/>
  <c r="J79" i="4"/>
  <c r="I79" i="4"/>
  <c r="H79" i="4"/>
  <c r="G79" i="4"/>
  <c r="F79" i="4"/>
  <c r="E79" i="4"/>
  <c r="D79" i="4"/>
  <c r="C79" i="4"/>
  <c r="L78" i="4"/>
  <c r="K78" i="4"/>
  <c r="J78" i="4"/>
  <c r="I78" i="4"/>
  <c r="H78" i="4"/>
  <c r="G78" i="4"/>
  <c r="F78" i="4"/>
  <c r="E78" i="4"/>
  <c r="D78" i="4"/>
  <c r="C78" i="4"/>
  <c r="L77" i="4"/>
  <c r="K77" i="4"/>
  <c r="J77" i="4"/>
  <c r="I77" i="4"/>
  <c r="H77" i="4"/>
  <c r="G77" i="4"/>
  <c r="F77" i="4"/>
  <c r="E77" i="4"/>
  <c r="D77" i="4"/>
  <c r="C77" i="4"/>
  <c r="L76" i="4"/>
  <c r="K76" i="4"/>
  <c r="J76" i="4"/>
  <c r="I76" i="4"/>
  <c r="H76" i="4"/>
  <c r="G76" i="4"/>
  <c r="F76" i="4"/>
  <c r="E76" i="4"/>
  <c r="D76" i="4"/>
  <c r="C76" i="4"/>
  <c r="L65" i="4"/>
  <c r="K65" i="4"/>
  <c r="J65" i="4"/>
  <c r="I65" i="4"/>
  <c r="H65" i="4"/>
  <c r="G65" i="4"/>
  <c r="F65" i="4"/>
  <c r="E65" i="4"/>
  <c r="D65" i="4"/>
  <c r="C65" i="4"/>
  <c r="L64" i="4"/>
  <c r="K64" i="4"/>
  <c r="J64" i="4"/>
  <c r="I64" i="4"/>
  <c r="H64" i="4"/>
  <c r="G64" i="4"/>
  <c r="F64" i="4"/>
  <c r="E64" i="4"/>
  <c r="D64" i="4"/>
  <c r="C64" i="4"/>
  <c r="L63" i="4"/>
  <c r="K63" i="4"/>
  <c r="J63" i="4"/>
  <c r="I63" i="4"/>
  <c r="H63" i="4"/>
  <c r="G63" i="4"/>
  <c r="F63" i="4"/>
  <c r="E63" i="4"/>
  <c r="D63" i="4"/>
  <c r="C63" i="4"/>
  <c r="L60" i="4"/>
  <c r="K60" i="4"/>
  <c r="J60" i="4"/>
  <c r="I60" i="4"/>
  <c r="H60" i="4"/>
  <c r="G60" i="4"/>
  <c r="F60" i="4"/>
  <c r="E60" i="4"/>
  <c r="D60" i="4"/>
  <c r="C60" i="4"/>
  <c r="L59" i="4"/>
  <c r="K59" i="4"/>
  <c r="J59" i="4"/>
  <c r="I59" i="4"/>
  <c r="H59" i="4"/>
  <c r="G59" i="4"/>
  <c r="F59" i="4"/>
  <c r="E59" i="4"/>
  <c r="D59" i="4"/>
  <c r="C59" i="4"/>
  <c r="L58" i="4"/>
  <c r="K58" i="4"/>
  <c r="J58" i="4"/>
  <c r="I58" i="4"/>
  <c r="H58" i="4"/>
  <c r="G58" i="4"/>
  <c r="F58" i="4"/>
  <c r="E58" i="4"/>
  <c r="D58" i="4"/>
  <c r="C58" i="4"/>
  <c r="L57" i="4"/>
  <c r="K57" i="4"/>
  <c r="J57" i="4"/>
  <c r="I57" i="4"/>
  <c r="H57" i="4"/>
  <c r="G57" i="4"/>
  <c r="F57" i="4"/>
  <c r="E57" i="4"/>
  <c r="D57" i="4"/>
  <c r="C57" i="4"/>
  <c r="L55" i="4"/>
  <c r="K55" i="4"/>
  <c r="J55" i="4"/>
  <c r="I55" i="4"/>
  <c r="H55" i="4"/>
  <c r="G55" i="4"/>
  <c r="F55" i="4"/>
  <c r="E55" i="4"/>
  <c r="D55" i="4"/>
  <c r="C55" i="4"/>
  <c r="L54" i="4"/>
  <c r="K54" i="4"/>
  <c r="J54" i="4"/>
  <c r="I54" i="4"/>
  <c r="H54" i="4"/>
  <c r="G54" i="4"/>
  <c r="F54" i="4"/>
  <c r="E54" i="4"/>
  <c r="D54" i="4"/>
  <c r="C54" i="4"/>
  <c r="L53" i="4"/>
  <c r="K53" i="4"/>
  <c r="J53" i="4"/>
  <c r="I53" i="4"/>
  <c r="H53" i="4"/>
  <c r="G53" i="4"/>
  <c r="F53" i="4"/>
  <c r="E53" i="4"/>
  <c r="D53" i="4"/>
  <c r="C53" i="4"/>
  <c r="L52" i="4"/>
  <c r="K52" i="4"/>
  <c r="J52" i="4"/>
  <c r="I52" i="4"/>
  <c r="H52" i="4"/>
  <c r="G52" i="4"/>
  <c r="F52" i="4"/>
  <c r="E52" i="4"/>
  <c r="D52" i="4"/>
  <c r="C52" i="4"/>
  <c r="L51" i="4"/>
  <c r="K51" i="4"/>
  <c r="J51" i="4"/>
  <c r="I51" i="4"/>
  <c r="H51" i="4"/>
  <c r="G51" i="4"/>
  <c r="F51" i="4"/>
  <c r="E51" i="4"/>
  <c r="D51" i="4"/>
  <c r="C51" i="4"/>
  <c r="M24" i="4"/>
  <c r="C44" i="4"/>
  <c r="L39" i="4"/>
  <c r="M39" i="4" s="1"/>
  <c r="M44" i="4" s="1"/>
  <c r="K39" i="4"/>
  <c r="K44" i="4" s="1"/>
  <c r="J39" i="4"/>
  <c r="J44" i="4" s="1"/>
  <c r="I39" i="4"/>
  <c r="I44" i="4" s="1"/>
  <c r="H39" i="4"/>
  <c r="H44" i="4" s="1"/>
  <c r="G39" i="4"/>
  <c r="G44" i="4" s="1"/>
  <c r="F39" i="4"/>
  <c r="F44" i="4" s="1"/>
  <c r="E39" i="4"/>
  <c r="E44" i="4" s="1"/>
  <c r="E9" i="7" s="1"/>
  <c r="D39" i="4"/>
  <c r="D44" i="4" s="1"/>
  <c r="C39" i="4"/>
  <c r="M33" i="4"/>
  <c r="L33" i="4"/>
  <c r="K33" i="4"/>
  <c r="J33" i="4"/>
  <c r="I33" i="4"/>
  <c r="H33" i="4"/>
  <c r="G33" i="4"/>
  <c r="F33" i="4"/>
  <c r="E33" i="4"/>
  <c r="D33" i="4"/>
  <c r="C33" i="4"/>
  <c r="L24" i="4"/>
  <c r="K24" i="4"/>
  <c r="J24" i="4"/>
  <c r="I24" i="4"/>
  <c r="H24" i="4"/>
  <c r="H25" i="4" s="1"/>
  <c r="G24" i="4"/>
  <c r="F24" i="4"/>
  <c r="E24" i="4"/>
  <c r="D24" i="4"/>
  <c r="C24" i="4"/>
  <c r="M21" i="4"/>
  <c r="L21" i="4"/>
  <c r="K21" i="4"/>
  <c r="J21" i="4"/>
  <c r="I21" i="4"/>
  <c r="I22" i="4" s="1"/>
  <c r="H21" i="4"/>
  <c r="G21" i="4"/>
  <c r="F21" i="4"/>
  <c r="E21" i="4"/>
  <c r="D21" i="4"/>
  <c r="C21" i="4"/>
  <c r="M15" i="4"/>
  <c r="L15" i="4"/>
  <c r="K15" i="4"/>
  <c r="J15" i="4"/>
  <c r="I15" i="4"/>
  <c r="I16" i="4" s="1"/>
  <c r="H15" i="4"/>
  <c r="G15" i="4"/>
  <c r="F15" i="4"/>
  <c r="E15" i="4"/>
  <c r="D15" i="4"/>
  <c r="C15" i="4"/>
  <c r="M9" i="4"/>
  <c r="M10" i="4" s="1"/>
  <c r="L9" i="4"/>
  <c r="L10" i="4" s="1"/>
  <c r="K9" i="4"/>
  <c r="J9" i="4"/>
  <c r="I9" i="4"/>
  <c r="I12" i="4" s="1"/>
  <c r="H9" i="4"/>
  <c r="H10" i="4" s="1"/>
  <c r="G9" i="4"/>
  <c r="F9" i="4"/>
  <c r="E9" i="4"/>
  <c r="D9" i="4"/>
  <c r="C9" i="4"/>
  <c r="M6" i="4"/>
  <c r="L6" i="4"/>
  <c r="K6" i="4"/>
  <c r="K22" i="4" s="1"/>
  <c r="J6" i="4"/>
  <c r="I6" i="4"/>
  <c r="H6" i="4"/>
  <c r="G6" i="4"/>
  <c r="F6" i="4"/>
  <c r="F7" i="4" s="1"/>
  <c r="F5" i="7" s="1"/>
  <c r="E6" i="4"/>
  <c r="D6" i="4"/>
  <c r="C6" i="4"/>
  <c r="L3" i="4"/>
  <c r="K3" i="4"/>
  <c r="J3" i="4"/>
  <c r="I3" i="4"/>
  <c r="H3" i="4"/>
  <c r="G3" i="4"/>
  <c r="F3" i="4"/>
  <c r="E3" i="4"/>
  <c r="D3" i="4"/>
  <c r="C3" i="4"/>
  <c r="B2" i="4"/>
  <c r="E15" i="8" l="1"/>
  <c r="B17" i="8"/>
  <c r="D16" i="8"/>
  <c r="E16" i="8" s="1"/>
  <c r="I9" i="7"/>
  <c r="K9" i="7"/>
  <c r="C98" i="4"/>
  <c r="E7" i="4"/>
  <c r="E5" i="7" s="1"/>
  <c r="H22" i="4"/>
  <c r="I25" i="4"/>
  <c r="F66" i="4"/>
  <c r="F9" i="7"/>
  <c r="H9" i="7"/>
  <c r="J22" i="4"/>
  <c r="G9" i="7"/>
  <c r="G61" i="4"/>
  <c r="G68" i="4" s="1"/>
  <c r="G70" i="4" s="1"/>
  <c r="J9" i="7"/>
  <c r="H61" i="4"/>
  <c r="D66" i="4"/>
  <c r="H66" i="4"/>
  <c r="D9" i="7"/>
  <c r="I61" i="4"/>
  <c r="E66" i="4"/>
  <c r="K25" i="4"/>
  <c r="L44" i="4"/>
  <c r="L9" i="7" s="1"/>
  <c r="J61" i="4"/>
  <c r="J7" i="4"/>
  <c r="J5" i="7" s="1"/>
  <c r="L22" i="4"/>
  <c r="G66" i="4"/>
  <c r="L12" i="4"/>
  <c r="L13" i="4" s="1"/>
  <c r="L11" i="7" s="1"/>
  <c r="I10" i="4"/>
  <c r="J66" i="4"/>
  <c r="M7" i="4"/>
  <c r="E22" i="4"/>
  <c r="D7" i="4"/>
  <c r="D5" i="7" s="1"/>
  <c r="F22" i="4"/>
  <c r="C66" i="4"/>
  <c r="F110" i="4"/>
  <c r="F83" i="4"/>
  <c r="L110" i="4"/>
  <c r="G83" i="4"/>
  <c r="I83" i="4"/>
  <c r="J83" i="4"/>
  <c r="L83" i="4"/>
  <c r="C83" i="4"/>
  <c r="E98" i="4"/>
  <c r="E110" i="4"/>
  <c r="K83" i="4"/>
  <c r="K98" i="4"/>
  <c r="K110" i="4"/>
  <c r="I110" i="4"/>
  <c r="J98" i="4"/>
  <c r="G110" i="4"/>
  <c r="H98" i="4"/>
  <c r="I98" i="4"/>
  <c r="J110" i="4"/>
  <c r="E83" i="4"/>
  <c r="G98" i="4"/>
  <c r="C110" i="4"/>
  <c r="H83" i="4"/>
  <c r="D98" i="4"/>
  <c r="F98" i="4"/>
  <c r="L98" i="4"/>
  <c r="D110" i="4"/>
  <c r="H110" i="4"/>
  <c r="D83" i="4"/>
  <c r="G16" i="4"/>
  <c r="K12" i="4"/>
  <c r="K13" i="4" s="1"/>
  <c r="K11" i="7" s="1"/>
  <c r="H16" i="4"/>
  <c r="K7" i="4"/>
  <c r="K5" i="7" s="1"/>
  <c r="D22" i="4"/>
  <c r="G22" i="4"/>
  <c r="L7" i="4"/>
  <c r="L5" i="7" s="1"/>
  <c r="I66" i="4"/>
  <c r="J10" i="4"/>
  <c r="K10" i="4"/>
  <c r="J25" i="4"/>
  <c r="F10" i="4"/>
  <c r="J16" i="4"/>
  <c r="L25" i="4"/>
  <c r="E10" i="4"/>
  <c r="G10" i="4"/>
  <c r="K16" i="4"/>
  <c r="K61" i="4"/>
  <c r="L16" i="4"/>
  <c r="H7" i="4"/>
  <c r="H5" i="7" s="1"/>
  <c r="M22" i="4"/>
  <c r="G7" i="4"/>
  <c r="G5" i="7" s="1"/>
  <c r="M12" i="4"/>
  <c r="M13" i="4" s="1"/>
  <c r="L61" i="4"/>
  <c r="M16" i="4"/>
  <c r="I7" i="4"/>
  <c r="I5" i="7" s="1"/>
  <c r="J12" i="4"/>
  <c r="J18" i="4" s="1"/>
  <c r="G25" i="4"/>
  <c r="H68" i="4"/>
  <c r="H70" i="4" s="1"/>
  <c r="I18" i="4"/>
  <c r="I13" i="4"/>
  <c r="I11" i="7" s="1"/>
  <c r="D68" i="4"/>
  <c r="D70" i="4" s="1"/>
  <c r="C10" i="4"/>
  <c r="C12" i="4"/>
  <c r="K66" i="4"/>
  <c r="D10" i="4"/>
  <c r="D12" i="4"/>
  <c r="L18" i="4"/>
  <c r="L66" i="4"/>
  <c r="E12" i="4"/>
  <c r="E16" i="4"/>
  <c r="F12" i="4"/>
  <c r="F16" i="4"/>
  <c r="G12" i="4"/>
  <c r="C16" i="4"/>
  <c r="H12" i="4"/>
  <c r="D16" i="4"/>
  <c r="E25" i="4"/>
  <c r="F25" i="4"/>
  <c r="C25" i="4"/>
  <c r="C61" i="4"/>
  <c r="D25" i="4"/>
  <c r="D61" i="4"/>
  <c r="C22" i="4"/>
  <c r="E61" i="4"/>
  <c r="F61" i="4"/>
  <c r="F68" i="4" s="1"/>
  <c r="F70" i="4" s="1"/>
  <c r="M25" i="4"/>
  <c r="B18" i="8" l="1"/>
  <c r="D18" i="8" s="1"/>
  <c r="E18" i="8" s="1"/>
  <c r="D17" i="8"/>
  <c r="E17" i="8" s="1"/>
  <c r="I27" i="4"/>
  <c r="C68" i="4"/>
  <c r="C70" i="4" s="1"/>
  <c r="L27" i="4"/>
  <c r="J6" i="7"/>
  <c r="J27" i="4"/>
  <c r="J68" i="4"/>
  <c r="J70" i="4" s="1"/>
  <c r="K68" i="4"/>
  <c r="K70" i="4" s="1"/>
  <c r="K18" i="4"/>
  <c r="I68" i="4"/>
  <c r="I70" i="4" s="1"/>
  <c r="E68" i="4"/>
  <c r="E70" i="4" s="1"/>
  <c r="F112" i="4"/>
  <c r="L112" i="4"/>
  <c r="C112" i="4"/>
  <c r="G112" i="4"/>
  <c r="J112" i="4"/>
  <c r="K112" i="4"/>
  <c r="E112" i="4"/>
  <c r="H112" i="4"/>
  <c r="D112" i="4"/>
  <c r="I112" i="4"/>
  <c r="J13" i="4"/>
  <c r="J11" i="7" s="1"/>
  <c r="L68" i="4"/>
  <c r="L70" i="4" s="1"/>
  <c r="D13" i="4"/>
  <c r="D11" i="7" s="1"/>
  <c r="D18" i="4"/>
  <c r="H18" i="4"/>
  <c r="H13" i="4"/>
  <c r="H11" i="7" s="1"/>
  <c r="J19" i="4"/>
  <c r="J12" i="7" s="1"/>
  <c r="J30" i="4"/>
  <c r="C13" i="4"/>
  <c r="C11" i="7" s="1"/>
  <c r="C18" i="4"/>
  <c r="C27" i="4" s="1"/>
  <c r="C28" i="4" s="1"/>
  <c r="C13" i="7" s="1"/>
  <c r="I19" i="4"/>
  <c r="I12" i="7" s="1"/>
  <c r="I30" i="4"/>
  <c r="F13" i="4"/>
  <c r="F11" i="7" s="1"/>
  <c r="F18" i="4"/>
  <c r="E13" i="4"/>
  <c r="E11" i="7" s="1"/>
  <c r="E18" i="4"/>
  <c r="L19" i="4"/>
  <c r="L12" i="7" s="1"/>
  <c r="L30" i="4"/>
  <c r="G13" i="4"/>
  <c r="G11" i="7" s="1"/>
  <c r="G18" i="4"/>
  <c r="K6" i="7" l="1"/>
  <c r="K27" i="4"/>
  <c r="G6" i="7"/>
  <c r="G27" i="4"/>
  <c r="J7" i="7"/>
  <c r="J28" i="4"/>
  <c r="J13" i="7" s="1"/>
  <c r="H6" i="7"/>
  <c r="H27" i="4"/>
  <c r="L7" i="7"/>
  <c r="L28" i="4"/>
  <c r="L13" i="7" s="1"/>
  <c r="E6" i="7"/>
  <c r="E27" i="4"/>
  <c r="D6" i="7"/>
  <c r="D27" i="4"/>
  <c r="L6" i="7"/>
  <c r="F6" i="7"/>
  <c r="F27" i="4"/>
  <c r="K30" i="4"/>
  <c r="K36" i="4" s="1"/>
  <c r="I28" i="4"/>
  <c r="I13" i="7" s="1"/>
  <c r="K19" i="4"/>
  <c r="K12" i="7" s="1"/>
  <c r="I6" i="7"/>
  <c r="F30" i="4"/>
  <c r="F19" i="4"/>
  <c r="F12" i="7" s="1"/>
  <c r="I34" i="4"/>
  <c r="I36" i="4"/>
  <c r="I31" i="4"/>
  <c r="I14" i="7" s="1"/>
  <c r="C30" i="4"/>
  <c r="C19" i="4"/>
  <c r="C12" i="7" s="1"/>
  <c r="G19" i="4"/>
  <c r="G12" i="7" s="1"/>
  <c r="G30" i="4"/>
  <c r="J34" i="4"/>
  <c r="J36" i="4"/>
  <c r="J31" i="4"/>
  <c r="J14" i="7" s="1"/>
  <c r="L36" i="4"/>
  <c r="L34" i="4"/>
  <c r="L31" i="4"/>
  <c r="L14" i="7" s="1"/>
  <c r="H19" i="4"/>
  <c r="H12" i="7" s="1"/>
  <c r="H30" i="4"/>
  <c r="E30" i="4"/>
  <c r="E19" i="4"/>
  <c r="E12" i="7" s="1"/>
  <c r="D30" i="4"/>
  <c r="D19" i="4"/>
  <c r="D12" i="7" s="1"/>
  <c r="K41" i="4" l="1"/>
  <c r="L42" i="4" s="1"/>
  <c r="K8" i="7"/>
  <c r="J41" i="4"/>
  <c r="J42" i="4" s="1"/>
  <c r="J8" i="7"/>
  <c r="E7" i="7"/>
  <c r="E28" i="4"/>
  <c r="E13" i="7" s="1"/>
  <c r="H7" i="7"/>
  <c r="H28" i="4"/>
  <c r="H13" i="7" s="1"/>
  <c r="I7" i="7"/>
  <c r="I41" i="4"/>
  <c r="F7" i="7"/>
  <c r="F28" i="4"/>
  <c r="F13" i="7" s="1"/>
  <c r="G7" i="7"/>
  <c r="G28" i="4"/>
  <c r="G13" i="7" s="1"/>
  <c r="K34" i="4"/>
  <c r="L41" i="4"/>
  <c r="L8" i="7"/>
  <c r="K31" i="4"/>
  <c r="K14" i="7" s="1"/>
  <c r="D7" i="7"/>
  <c r="D28" i="4"/>
  <c r="D13" i="7" s="1"/>
  <c r="K7" i="7"/>
  <c r="K28" i="4"/>
  <c r="K13" i="7" s="1"/>
  <c r="G31" i="4"/>
  <c r="G14" i="7" s="1"/>
  <c r="G34" i="4"/>
  <c r="G36" i="4"/>
  <c r="D31" i="4"/>
  <c r="D14" i="7" s="1"/>
  <c r="D36" i="4"/>
  <c r="D34" i="4"/>
  <c r="E31" i="4"/>
  <c r="E14" i="7" s="1"/>
  <c r="E36" i="4"/>
  <c r="E34" i="4"/>
  <c r="C31" i="4"/>
  <c r="C14" i="7" s="1"/>
  <c r="C36" i="4"/>
  <c r="C41" i="4" s="1"/>
  <c r="C34" i="4"/>
  <c r="H31" i="4"/>
  <c r="H14" i="7" s="1"/>
  <c r="H34" i="4"/>
  <c r="H36" i="4"/>
  <c r="L47" i="4"/>
  <c r="L45" i="4"/>
  <c r="F31" i="4"/>
  <c r="F14" i="7" s="1"/>
  <c r="F34" i="4"/>
  <c r="F36" i="4"/>
  <c r="I42" i="4" l="1"/>
  <c r="H41" i="4"/>
  <c r="H8" i="7"/>
  <c r="G41" i="4"/>
  <c r="G45" i="4" s="1"/>
  <c r="G47" i="4" s="1"/>
  <c r="G8" i="7"/>
  <c r="F41" i="4"/>
  <c r="F42" i="4" s="1"/>
  <c r="F8" i="7"/>
  <c r="J45" i="4"/>
  <c r="J47" i="4" s="1"/>
  <c r="K45" i="4"/>
  <c r="K47" i="4" s="1"/>
  <c r="K42" i="4"/>
  <c r="I8" i="7"/>
  <c r="E41" i="4"/>
  <c r="E45" i="4" s="1"/>
  <c r="E47" i="4" s="1"/>
  <c r="E8" i="7"/>
  <c r="I45" i="4"/>
  <c r="I47" i="4"/>
  <c r="D41" i="4"/>
  <c r="D8" i="7"/>
  <c r="D42" i="4"/>
  <c r="D45" i="4"/>
  <c r="D47" i="4" s="1"/>
  <c r="G42" i="4"/>
  <c r="F45" i="4"/>
  <c r="F47" i="4" s="1"/>
  <c r="H42" i="4"/>
  <c r="H45" i="4"/>
  <c r="H47" i="4" s="1"/>
  <c r="C45" i="4"/>
  <c r="C47" i="4" s="1"/>
  <c r="E42" i="4" l="1"/>
  <c r="E1" i="1"/>
  <c r="B6" i="1"/>
  <c r="K15" i="1"/>
  <c r="B32" i="1"/>
  <c r="C32" i="1"/>
  <c r="D32" i="1"/>
  <c r="E32" i="1"/>
  <c r="F32" i="1"/>
  <c r="G32" i="1"/>
  <c r="H32" i="1"/>
  <c r="I32" i="1"/>
  <c r="J32" i="1"/>
  <c r="K32" i="1"/>
  <c r="B34" i="1"/>
  <c r="B15" i="1" s="1"/>
  <c r="C34" i="1"/>
  <c r="D34" i="1"/>
  <c r="E34" i="1"/>
  <c r="F34" i="1"/>
  <c r="G34" i="1"/>
  <c r="H34" i="1"/>
  <c r="I34" i="1"/>
  <c r="J34" i="1"/>
  <c r="K34" i="1"/>
  <c r="B51" i="1"/>
  <c r="C51" i="1"/>
  <c r="D51" i="1"/>
  <c r="E51" i="1"/>
  <c r="F51" i="1"/>
  <c r="G51" i="1"/>
  <c r="H51" i="1"/>
  <c r="I51" i="1"/>
  <c r="J51" i="1"/>
  <c r="K51" i="1"/>
  <c r="H73" i="1"/>
  <c r="I73" i="1"/>
  <c r="J73" i="1"/>
  <c r="K73" i="1"/>
  <c r="M18" i="4" l="1"/>
  <c r="M27" i="4" s="1"/>
  <c r="M28" i="4" s="1"/>
  <c r="M19" i="4" l="1"/>
  <c r="M30" i="4"/>
  <c r="M31" i="4" l="1"/>
  <c r="M34" i="4"/>
  <c r="M36" i="4"/>
  <c r="M41" i="4" s="1"/>
  <c r="M45" i="4" l="1"/>
  <c r="M47" i="4" s="1"/>
  <c r="M42" i="4"/>
</calcChain>
</file>

<file path=xl/sharedStrings.xml><?xml version="1.0" encoding="utf-8"?>
<sst xmlns="http://schemas.openxmlformats.org/spreadsheetml/2006/main" count="237" uniqueCount="162">
  <si>
    <t>Adjusted Equity Shares in Cr</t>
  </si>
  <si>
    <t>DERIVED:</t>
  </si>
  <si>
    <t>PRICE:</t>
  </si>
  <si>
    <t>Net Cash Flow</t>
  </si>
  <si>
    <t>Cash from Financing Activity</t>
  </si>
  <si>
    <t>Cash from Investing Activity</t>
  </si>
  <si>
    <t>Cash from Operating Activity</t>
  </si>
  <si>
    <t>Report Date</t>
  </si>
  <si>
    <t>CASH FLOW:</t>
  </si>
  <si>
    <t>Face value</t>
  </si>
  <si>
    <t>New Bonus Shares</t>
  </si>
  <si>
    <t>No. of Equity Shares</t>
  </si>
  <si>
    <t>Cash &amp; Bank</t>
  </si>
  <si>
    <t>Inventory</t>
  </si>
  <si>
    <t>Receivables</t>
  </si>
  <si>
    <t>Total</t>
  </si>
  <si>
    <t>Other Assets</t>
  </si>
  <si>
    <t>Investments</t>
  </si>
  <si>
    <t>Capital Work in Progress</t>
  </si>
  <si>
    <t>Net Block</t>
  </si>
  <si>
    <t>Other Liabilities</t>
  </si>
  <si>
    <t>Borrowings</t>
  </si>
  <si>
    <t>Reserves</t>
  </si>
  <si>
    <t>Equity Share Capital</t>
  </si>
  <si>
    <t>BALANCE SHEET</t>
  </si>
  <si>
    <t>EBITDA</t>
  </si>
  <si>
    <t>Operating Profit</t>
  </si>
  <si>
    <t>Net profit</t>
  </si>
  <si>
    <t>Tax</t>
  </si>
  <si>
    <t>Profit before tax</t>
  </si>
  <si>
    <t>Interest</t>
  </si>
  <si>
    <t>Depreciation</t>
  </si>
  <si>
    <t>Other Income</t>
  </si>
  <si>
    <t>Expenses</t>
  </si>
  <si>
    <t>Sales</t>
  </si>
  <si>
    <t>Quarters</t>
  </si>
  <si>
    <t>Effective Tax Rate</t>
  </si>
  <si>
    <t>Dividend Amount</t>
  </si>
  <si>
    <t>Other Expenses</t>
  </si>
  <si>
    <t>Selling and admin</t>
  </si>
  <si>
    <t>Employee Cost</t>
  </si>
  <si>
    <t>Other Mfr. Exp</t>
  </si>
  <si>
    <t>Power and Fuel</t>
  </si>
  <si>
    <t>Change in Inventory</t>
  </si>
  <si>
    <t>Raw Material Cost</t>
  </si>
  <si>
    <t>PROFIT &amp; LOSS</t>
  </si>
  <si>
    <t>Market Capitalization</t>
  </si>
  <si>
    <t>Current Price</t>
  </si>
  <si>
    <t>Face Value</t>
  </si>
  <si>
    <t>Number of shares</t>
  </si>
  <si>
    <t>META</t>
  </si>
  <si>
    <t>CURRENT VERSION</t>
  </si>
  <si>
    <t>PLEASE DO NOT MAKE ANY CHANGES TO THIS SHEET</t>
  </si>
  <si>
    <t>LATEST VERSION</t>
  </si>
  <si>
    <t>HINDUSTAN UNILEVER LTD</t>
  </si>
  <si>
    <t>COMPANY NAME</t>
  </si>
  <si>
    <t>Years</t>
  </si>
  <si>
    <t>Income Statement</t>
  </si>
  <si>
    <t>#</t>
  </si>
  <si>
    <t>LTM</t>
  </si>
  <si>
    <t>Sales Growth</t>
  </si>
  <si>
    <t>-</t>
  </si>
  <si>
    <t>Gross Margin</t>
  </si>
  <si>
    <t>S&amp;G Exp % Sales</t>
  </si>
  <si>
    <t>EBITDA Margin</t>
  </si>
  <si>
    <t>Dep % Sales</t>
  </si>
  <si>
    <t>Interest % Sales</t>
  </si>
  <si>
    <t>EBT % Sales</t>
  </si>
  <si>
    <t>Net Profit</t>
  </si>
  <si>
    <t>Earning per Share</t>
  </si>
  <si>
    <t>Dividend payout Ratio</t>
  </si>
  <si>
    <t>COGS</t>
  </si>
  <si>
    <t>COGS % Sales</t>
  </si>
  <si>
    <t>EPS Growth %</t>
  </si>
  <si>
    <t>Dividend per Share</t>
  </si>
  <si>
    <t>Gross Profit</t>
  </si>
  <si>
    <t>Selling &amp; General Expenses</t>
  </si>
  <si>
    <t>EBT</t>
  </si>
  <si>
    <t>No of Equity Share</t>
  </si>
  <si>
    <t>Retained Earning</t>
  </si>
  <si>
    <t>Balance Sheet</t>
  </si>
  <si>
    <t>Total Liabilities</t>
  </si>
  <si>
    <t>Total Current Assets</t>
  </si>
  <si>
    <t>Total Assets</t>
  </si>
  <si>
    <t>Check</t>
  </si>
  <si>
    <t>Total Non Current Assets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</si>
  <si>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</si>
  <si>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</si>
  <si>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</si>
  <si>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</si>
  <si>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</si>
  <si>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</si>
  <si>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</si>
  <si>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</si>
  <si>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</si>
  <si>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</si>
  <si>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</si>
  <si>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</si>
  <si>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</si>
  <si>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</si>
  <si>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</si>
  <si>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</si>
  <si>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</si>
  <si>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</si>
  <si>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</si>
  <si>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</si>
  <si>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</si>
  <si>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</si>
  <si>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</si>
  <si>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</si>
  <si>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</si>
  <si>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Proceeds from deposits</t>
  </si>
  <si>
    <t>Interest paid fin</t>
  </si>
  <si>
    <t>Dividends paid</t>
  </si>
  <si>
    <t>Financial liabilities</t>
  </si>
  <si>
    <t>Other financing items</t>
  </si>
  <si>
    <t>Cash Flow Statement</t>
  </si>
  <si>
    <t>Cash from Investing Activites</t>
  </si>
  <si>
    <t>Cash from Financing Activities</t>
  </si>
  <si>
    <t>Operating Activities</t>
  </si>
  <si>
    <t>Cash from Operating Activites</t>
  </si>
  <si>
    <t>Financing Activities</t>
  </si>
  <si>
    <t>Investing Activites</t>
  </si>
  <si>
    <t>Other operating items</t>
  </si>
  <si>
    <t>Exceptional CF items</t>
  </si>
  <si>
    <t>Loans to subsidiaries</t>
  </si>
  <si>
    <t>EBIT</t>
  </si>
  <si>
    <t>EBIT % Sales</t>
  </si>
  <si>
    <t>Trend</t>
  </si>
  <si>
    <t>Mean</t>
  </si>
  <si>
    <t>Median</t>
  </si>
  <si>
    <t>SalesGrowth</t>
  </si>
  <si>
    <t>EBITDA Growth</t>
  </si>
  <si>
    <t>EBIT Growth</t>
  </si>
  <si>
    <t>Net Profit Growth</t>
  </si>
  <si>
    <t>Dividend Growth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</si>
  <si>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</si>
  <si>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</si>
  <si>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</si>
  <si>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</si>
  <si>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</si>
  <si>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</si>
  <si>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</si>
  <si>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</si>
  <si>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</si>
  <si>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</si>
  <si>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</si>
  <si>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</si>
  <si>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</si>
  <si>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</si>
  <si>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</si>
  <si>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</si>
  <si>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</si>
  <si>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</si>
  <si>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</si>
  <si>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 (in days)</t>
  </si>
  <si>
    <t>CFO/Sales</t>
  </si>
  <si>
    <t>CFO/Total Assets</t>
  </si>
  <si>
    <t>CFO/Total Debt</t>
  </si>
  <si>
    <t>Net  Margins</t>
  </si>
  <si>
    <t>Year Weight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</si>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</sst>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;\(&quot;₹&quot;\ #,##0.0\);\-"/>
    <numFmt numFmtId="167" formatCode="0.00&quot;x&quot;"/>
    <numFmt numFmtId="170" formatCode="#,##0.0"/>
    <numFmt numFmtId="173" formatCode="General&quot;E&quot;"/>
    <numFmt numFmtId="174" formatCode="yyyy&quot;A&quot;"/>
    <numFmt numFmtId="175" formatCode="yyyy&quot;E&quot;"/>
  </numFmts>
  <fonts count="16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theme="1"/>
      <name val="Arial Narrow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sz val="11"/>
      <color theme="1"/>
      <name val="Calibri"/>
      <family val="2"/>
    </font>
    <font>
      <sz val="11"/>
      <color rgb="FF0000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rgb="FF002060"/>
      </bottom>
      <diagonal/>
    </border>
    <border>
      <left/>
      <right/>
      <top/>
      <bottom style="double">
        <color rgb="FF002060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8" fillId="0" borderId="0"/>
    <xf numFmtId="9" fontId="3" fillId="0" borderId="0" applyFont="0" applyFill="0" applyBorder="0" applyAlignment="0" applyProtection="0"/>
    <xf numFmtId="0" fontId="9" fillId="2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4" fillId="0" borderId="0" applyFont="0" applyFill="0" applyBorder="0" applyAlignment="0" applyProtection="0"/>
  </cellStyleXfs>
  <cellXfs count="67">
    <xf numFmtId="0" fontId="0" fillId="0" borderId="0" xfId="0"/>
    <xf numFmtId="43" fontId="4" fillId="0" borderId="0" xfId="1" applyFont="1" applyBorder="1"/>
    <xf numFmtId="164" fontId="4" fillId="0" borderId="0" xfId="1" applyNumberFormat="1" applyFont="1" applyBorder="1"/>
    <xf numFmtId="43" fontId="5" fillId="0" borderId="0" xfId="1" applyFont="1" applyBorder="1"/>
    <xf numFmtId="0" fontId="4" fillId="0" borderId="0" xfId="2" applyFont="1"/>
    <xf numFmtId="165" fontId="6" fillId="0" borderId="0" xfId="1" applyNumberFormat="1" applyFont="1" applyFill="1" applyBorder="1"/>
    <xf numFmtId="165" fontId="7" fillId="3" borderId="0" xfId="2" applyNumberFormat="1" applyFont="1" applyFill="1" applyAlignment="1">
      <alignment horizontal="center"/>
    </xf>
    <xf numFmtId="165" fontId="7" fillId="3" borderId="0" xfId="1" applyNumberFormat="1" applyFont="1" applyFill="1" applyBorder="1"/>
    <xf numFmtId="0" fontId="8" fillId="0" borderId="0" xfId="3"/>
    <xf numFmtId="0" fontId="3" fillId="0" borderId="0" xfId="2"/>
    <xf numFmtId="9" fontId="4" fillId="0" borderId="0" xfId="4" applyFont="1" applyBorder="1"/>
    <xf numFmtId="0" fontId="0" fillId="0" borderId="0" xfId="0" applyAlignment="1">
      <alignment horizontal="right"/>
    </xf>
    <xf numFmtId="0" fontId="2" fillId="0" borderId="0" xfId="0" applyFont="1"/>
    <xf numFmtId="166" fontId="0" fillId="0" borderId="0" xfId="0" applyNumberFormat="1"/>
    <xf numFmtId="10" fontId="13" fillId="0" borderId="0" xfId="0" applyNumberFormat="1" applyFont="1" applyAlignment="1">
      <alignment horizontal="right"/>
    </xf>
    <xf numFmtId="0" fontId="2" fillId="4" borderId="0" xfId="0" applyFont="1" applyFill="1"/>
    <xf numFmtId="10" fontId="13" fillId="0" borderId="0" xfId="0" applyNumberFormat="1" applyFont="1"/>
    <xf numFmtId="10" fontId="12" fillId="0" borderId="0" xfId="0" applyNumberFormat="1" applyFont="1"/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  <xf numFmtId="10" fontId="13" fillId="0" borderId="0" xfId="0" applyNumberFormat="1" applyFont="1" applyAlignment="1">
      <alignment horizontal="left"/>
    </xf>
    <xf numFmtId="10" fontId="12" fillId="0" borderId="0" xfId="0" applyNumberFormat="1" applyFont="1" applyAlignment="1">
      <alignment horizontal="left"/>
    </xf>
    <xf numFmtId="0" fontId="2" fillId="4" borderId="0" xfId="0" applyFont="1" applyFill="1" applyAlignment="1">
      <alignment horizontal="left"/>
    </xf>
    <xf numFmtId="43" fontId="4" fillId="0" borderId="0" xfId="1" applyFont="1" applyBorder="1" applyAlignment="1">
      <alignment horizontal="left"/>
    </xf>
    <xf numFmtId="166" fontId="0" fillId="0" borderId="0" xfId="0" applyNumberFormat="1" applyAlignment="1">
      <alignment horizontal="right"/>
    </xf>
    <xf numFmtId="10" fontId="12" fillId="0" borderId="0" xfId="0" applyNumberFormat="1" applyFont="1" applyAlignment="1">
      <alignment horizontal="right"/>
    </xf>
    <xf numFmtId="0" fontId="2" fillId="4" borderId="0" xfId="0" applyFont="1" applyFill="1" applyAlignment="1">
      <alignment horizontal="right"/>
    </xf>
    <xf numFmtId="17" fontId="0" fillId="0" borderId="0" xfId="0" applyNumberFormat="1"/>
    <xf numFmtId="3" fontId="0" fillId="0" borderId="0" xfId="0" applyNumberFormat="1"/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/>
    <xf numFmtId="43" fontId="5" fillId="0" borderId="1" xfId="1" applyFont="1" applyBorder="1" applyAlignment="1">
      <alignment horizontal="left"/>
    </xf>
    <xf numFmtId="43" fontId="5" fillId="0" borderId="1" xfId="1" applyFont="1" applyFill="1" applyBorder="1" applyAlignment="1">
      <alignment horizontal="left"/>
    </xf>
    <xf numFmtId="0" fontId="2" fillId="0" borderId="1" xfId="0" applyFont="1" applyBorder="1"/>
    <xf numFmtId="0" fontId="0" fillId="0" borderId="2" xfId="0" applyBorder="1"/>
    <xf numFmtId="10" fontId="0" fillId="0" borderId="0" xfId="7" applyNumberFormat="1" applyFont="1"/>
    <xf numFmtId="10" fontId="0" fillId="0" borderId="2" xfId="7" applyNumberFormat="1" applyFont="1" applyBorder="1"/>
    <xf numFmtId="10" fontId="0" fillId="0" borderId="0" xfId="7" applyNumberFormat="1" applyFont="1" applyBorder="1"/>
    <xf numFmtId="167" fontId="0" fillId="0" borderId="2" xfId="0" applyNumberFormat="1" applyBorder="1"/>
    <xf numFmtId="167" fontId="0" fillId="0" borderId="0" xfId="0" applyNumberFormat="1"/>
    <xf numFmtId="1" fontId="0" fillId="0" borderId="0" xfId="0" applyNumberFormat="1"/>
    <xf numFmtId="0" fontId="0" fillId="0" borderId="3" xfId="0" applyBorder="1"/>
    <xf numFmtId="0" fontId="0" fillId="0" borderId="5" xfId="0" applyBorder="1"/>
    <xf numFmtId="10" fontId="0" fillId="0" borderId="5" xfId="7" applyNumberFormat="1" applyFont="1" applyBorder="1"/>
    <xf numFmtId="0" fontId="0" fillId="0" borderId="4" xfId="0" applyBorder="1"/>
    <xf numFmtId="0" fontId="0" fillId="0" borderId="1" xfId="0" applyBorder="1"/>
    <xf numFmtId="10" fontId="0" fillId="0" borderId="1" xfId="7" applyNumberFormat="1" applyFont="1" applyBorder="1"/>
    <xf numFmtId="43" fontId="11" fillId="0" borderId="0" xfId="6" applyNumberFormat="1" applyFont="1" applyBorder="1" applyAlignment="1" applyProtection="1">
      <alignment horizontal="center"/>
    </xf>
    <xf numFmtId="43" fontId="7" fillId="2" borderId="0" xfId="5" applyNumberFormat="1" applyFont="1" applyBorder="1" applyAlignment="1">
      <alignment horizontal="center"/>
    </xf>
    <xf numFmtId="170" fontId="0" fillId="0" borderId="0" xfId="0" applyNumberFormat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17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17" fontId="1" fillId="5" borderId="0" xfId="0" applyNumberFormat="1" applyFont="1" applyFill="1" applyAlignment="1">
      <alignment horizontal="right"/>
    </xf>
    <xf numFmtId="170" fontId="15" fillId="0" borderId="0" xfId="0" applyNumberFormat="1" applyFont="1" applyAlignment="1">
      <alignment horizontal="right"/>
    </xf>
    <xf numFmtId="173" fontId="0" fillId="0" borderId="0" xfId="0" applyNumberFormat="1" applyAlignment="1">
      <alignment horizontal="right"/>
    </xf>
    <xf numFmtId="0" fontId="0" fillId="0" borderId="0" xfId="0" applyFill="1" applyBorder="1" applyAlignment="1"/>
    <xf numFmtId="174" fontId="0" fillId="0" borderId="0" xfId="0" applyNumberFormat="1" applyAlignment="1">
      <alignment horizontal="right"/>
    </xf>
    <xf numFmtId="0" fontId="0" fillId="6" borderId="0" xfId="0" applyFill="1" applyAlignment="1">
      <alignment horizontal="left"/>
    </xf>
    <xf numFmtId="175" fontId="0" fillId="6" borderId="0" xfId="0" applyNumberFormat="1" applyFill="1" applyAlignment="1">
      <alignment horizontal="right"/>
    </xf>
    <xf numFmtId="170" fontId="0" fillId="6" borderId="0" xfId="0" applyNumberFormat="1" applyFont="1" applyFill="1" applyAlignment="1">
      <alignment horizontal="right"/>
    </xf>
    <xf numFmtId="10" fontId="0" fillId="6" borderId="0" xfId="7" applyNumberFormat="1" applyFont="1" applyFill="1"/>
    <xf numFmtId="0" fontId="12" fillId="0" borderId="0" xfId="0" applyFont="1" applyFill="1" applyBorder="1" applyAlignment="1">
      <alignment horizontal="center"/>
    </xf>
    <xf numFmtId="0" fontId="0" fillId="0" borderId="0" xfId="0" applyBorder="1"/>
  </cellXfs>
  <cellStyles count="8">
    <cellStyle name="Accent6 2" xfId="5" xr:uid="{F0F94D71-89F1-4226-A5D1-04A4FA0F5FBE}"/>
    <cellStyle name="Comma 2" xfId="1" xr:uid="{D2181643-2CCF-4CB9-8319-F179B4098F22}"/>
    <cellStyle name="Hyperlink 2" xfId="6" xr:uid="{69ACF89B-82D1-4464-BC9C-A34F233A4CD3}"/>
    <cellStyle name="Normal" xfId="0" builtinId="0"/>
    <cellStyle name="Normal 2" xfId="3" xr:uid="{D27F8A91-8BD3-4AA0-A0E7-02966D39BE4C}"/>
    <cellStyle name="Normal 3" xfId="2" xr:uid="{3120BF31-BE32-455B-A4F4-11985514507D}"/>
    <cellStyle name="Percent" xfId="7" builtinId="5"/>
    <cellStyle name="Percent 3" xfId="4" xr:uid="{EDB89CCE-B470-4C0D-B00F-4CB7747BA6F5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0E51-F992-4A37-B907-C71FEE631456}">
  <dimension ref="B2:N35"/>
  <sheetViews>
    <sheetView workbookViewId="0">
      <selection activeCell="N4" sqref="N4"/>
    </sheetView>
  </sheetViews>
  <sheetFormatPr defaultRowHeight="14.4" x14ac:dyDescent="0.3"/>
  <cols>
    <col min="2" max="2" width="28" bestFit="1" customWidth="1"/>
    <col min="3" max="14" width="7.33203125" bestFit="1" customWidth="1"/>
  </cols>
  <sheetData>
    <row r="2" spans="2:14" x14ac:dyDescent="0.3">
      <c r="C2" s="27">
        <v>41334</v>
      </c>
      <c r="D2" s="27">
        <v>41699</v>
      </c>
      <c r="E2" s="27">
        <v>42064</v>
      </c>
      <c r="F2" s="27">
        <v>42430</v>
      </c>
      <c r="G2" s="27">
        <v>42795</v>
      </c>
      <c r="H2" s="27">
        <v>43160</v>
      </c>
      <c r="I2" s="27">
        <v>43525</v>
      </c>
      <c r="J2" s="27">
        <v>43891</v>
      </c>
      <c r="K2" s="27">
        <v>44256</v>
      </c>
      <c r="L2" s="27">
        <v>44621</v>
      </c>
      <c r="M2" s="27">
        <v>44986</v>
      </c>
      <c r="N2" s="27">
        <v>45352</v>
      </c>
    </row>
    <row r="3" spans="2:14" x14ac:dyDescent="0.3">
      <c r="B3" t="s">
        <v>86</v>
      </c>
      <c r="C3" s="28">
        <v>3605</v>
      </c>
      <c r="D3" s="28">
        <v>3818</v>
      </c>
      <c r="E3" s="28">
        <v>3292</v>
      </c>
      <c r="F3" s="28">
        <v>4171</v>
      </c>
      <c r="G3" s="28">
        <v>5185</v>
      </c>
      <c r="H3" s="28">
        <v>6059</v>
      </c>
      <c r="I3" s="28">
        <v>5800</v>
      </c>
      <c r="J3" s="28">
        <v>7623</v>
      </c>
      <c r="K3" s="28">
        <v>9163</v>
      </c>
      <c r="L3" s="28">
        <v>9048</v>
      </c>
      <c r="M3" s="28">
        <v>9991</v>
      </c>
      <c r="N3" s="28">
        <v>15469</v>
      </c>
    </row>
    <row r="4" spans="2:14" x14ac:dyDescent="0.3">
      <c r="B4" t="s">
        <v>87</v>
      </c>
      <c r="C4" s="28">
        <v>4266</v>
      </c>
      <c r="D4" s="28">
        <v>4802</v>
      </c>
      <c r="E4" s="28">
        <v>5510</v>
      </c>
      <c r="F4" s="28">
        <v>6025</v>
      </c>
      <c r="G4" s="28">
        <v>6512</v>
      </c>
      <c r="H4" s="28">
        <v>7485</v>
      </c>
      <c r="I4" s="28">
        <v>8909</v>
      </c>
      <c r="J4" s="28">
        <v>9723</v>
      </c>
      <c r="K4" s="28">
        <v>11672</v>
      </c>
      <c r="L4" s="28">
        <v>12829</v>
      </c>
      <c r="M4" s="28">
        <v>14089</v>
      </c>
      <c r="N4" s="28">
        <v>14537</v>
      </c>
    </row>
    <row r="5" spans="2:14" x14ac:dyDescent="0.3">
      <c r="B5" t="s">
        <v>14</v>
      </c>
      <c r="C5" s="28">
        <v>-149</v>
      </c>
      <c r="D5" s="28">
        <v>-17</v>
      </c>
      <c r="E5" s="28">
        <v>3</v>
      </c>
      <c r="F5">
        <v>-257</v>
      </c>
      <c r="G5" s="28">
        <v>173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>
        <v>0</v>
      </c>
    </row>
    <row r="6" spans="2:14" x14ac:dyDescent="0.3">
      <c r="B6" t="s">
        <v>13</v>
      </c>
      <c r="C6" s="28">
        <v>-39</v>
      </c>
      <c r="D6" s="28">
        <v>-201</v>
      </c>
      <c r="E6" s="28">
        <v>91</v>
      </c>
      <c r="F6" s="28">
        <v>89</v>
      </c>
      <c r="G6" s="28">
        <v>37</v>
      </c>
      <c r="H6" s="28">
        <v>-146</v>
      </c>
      <c r="I6" s="28">
        <v>-195</v>
      </c>
      <c r="J6" s="28">
        <v>-331</v>
      </c>
      <c r="K6" s="28">
        <v>-543</v>
      </c>
      <c r="L6" s="28">
        <v>-758</v>
      </c>
      <c r="M6" s="28">
        <v>-339</v>
      </c>
      <c r="N6">
        <v>74</v>
      </c>
    </row>
    <row r="7" spans="2:14" x14ac:dyDescent="0.3">
      <c r="B7" t="s">
        <v>88</v>
      </c>
      <c r="C7">
        <v>493</v>
      </c>
      <c r="D7" s="28">
        <v>546</v>
      </c>
      <c r="E7" s="28">
        <v>-327</v>
      </c>
      <c r="F7" s="28">
        <v>164</v>
      </c>
      <c r="G7" s="28">
        <v>501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</row>
    <row r="8" spans="2:14" x14ac:dyDescent="0.3">
      <c r="B8" t="s">
        <v>89</v>
      </c>
      <c r="C8">
        <v>-152</v>
      </c>
      <c r="D8">
        <v>-4</v>
      </c>
      <c r="E8">
        <v>-148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3">
      <c r="B9" t="s">
        <v>90</v>
      </c>
      <c r="C9">
        <v>276</v>
      </c>
      <c r="D9" s="28">
        <v>81</v>
      </c>
      <c r="E9">
        <v>38</v>
      </c>
      <c r="F9" s="28">
        <v>-77</v>
      </c>
      <c r="G9">
        <v>-99</v>
      </c>
      <c r="H9" s="28">
        <v>982</v>
      </c>
      <c r="I9" s="28">
        <v>-147</v>
      </c>
      <c r="J9">
        <v>742</v>
      </c>
      <c r="K9" s="28">
        <v>442</v>
      </c>
      <c r="L9">
        <v>-242</v>
      </c>
      <c r="M9" s="28">
        <v>-621</v>
      </c>
      <c r="N9" s="28">
        <v>1239</v>
      </c>
    </row>
    <row r="10" spans="2:14" x14ac:dyDescent="0.3">
      <c r="B10" t="s">
        <v>91</v>
      </c>
      <c r="C10" s="28">
        <v>429</v>
      </c>
      <c r="D10" s="28">
        <v>405</v>
      </c>
      <c r="E10">
        <v>-342</v>
      </c>
      <c r="F10" s="28">
        <v>-81</v>
      </c>
      <c r="G10" s="28">
        <v>566</v>
      </c>
      <c r="H10" s="28">
        <v>836</v>
      </c>
      <c r="I10" s="28">
        <v>-342</v>
      </c>
      <c r="J10" s="28">
        <v>411</v>
      </c>
      <c r="K10" s="28">
        <v>-101</v>
      </c>
      <c r="L10" s="28">
        <v>-1000</v>
      </c>
      <c r="M10">
        <v>-960</v>
      </c>
      <c r="N10" s="28">
        <v>1313</v>
      </c>
    </row>
    <row r="11" spans="2:14" x14ac:dyDescent="0.3">
      <c r="B11" t="s">
        <v>92</v>
      </c>
      <c r="C11" s="28">
        <v>-1074</v>
      </c>
      <c r="D11" s="28">
        <v>-1384</v>
      </c>
      <c r="E11" s="28">
        <v>-1862</v>
      </c>
      <c r="F11" s="28">
        <v>-1765</v>
      </c>
      <c r="G11" s="28">
        <v>-1859</v>
      </c>
      <c r="H11" s="28">
        <v>-2264</v>
      </c>
      <c r="I11" s="28">
        <v>-2767</v>
      </c>
      <c r="J11" s="28">
        <v>-2505</v>
      </c>
      <c r="K11" s="28">
        <v>-2407</v>
      </c>
      <c r="L11" s="28">
        <v>-2784</v>
      </c>
      <c r="M11" s="28">
        <v>-3138</v>
      </c>
      <c r="N11" s="28">
        <v>-381</v>
      </c>
    </row>
    <row r="12" spans="2:14" x14ac:dyDescent="0.3">
      <c r="B12" t="s">
        <v>123</v>
      </c>
      <c r="C12" s="28">
        <v>0</v>
      </c>
      <c r="D12" s="28">
        <v>-5</v>
      </c>
      <c r="E12" s="28">
        <v>-14</v>
      </c>
      <c r="F12" s="28">
        <v>-8</v>
      </c>
      <c r="G12" s="28">
        <v>-21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</row>
    <row r="13" spans="2:14" x14ac:dyDescent="0.3">
      <c r="B13" t="s">
        <v>124</v>
      </c>
      <c r="C13" s="28">
        <v>-17</v>
      </c>
      <c r="D13" s="28">
        <v>0</v>
      </c>
      <c r="E13" s="28">
        <v>0</v>
      </c>
      <c r="F13" s="28">
        <v>0</v>
      </c>
      <c r="G13" s="28">
        <v>-13</v>
      </c>
      <c r="H13" s="28">
        <v>2</v>
      </c>
      <c r="I13" s="28">
        <v>0</v>
      </c>
      <c r="J13" s="28">
        <v>-6</v>
      </c>
      <c r="K13" s="28">
        <v>-1</v>
      </c>
      <c r="L13" s="28">
        <v>3</v>
      </c>
      <c r="M13" s="28">
        <v>0</v>
      </c>
      <c r="N13" s="28">
        <v>0</v>
      </c>
    </row>
    <row r="14" spans="2:14" x14ac:dyDescent="0.3">
      <c r="B14" t="s">
        <v>93</v>
      </c>
      <c r="C14">
        <v>63</v>
      </c>
      <c r="D14">
        <v>-475</v>
      </c>
      <c r="E14">
        <v>138</v>
      </c>
      <c r="F14">
        <v>-282</v>
      </c>
      <c r="G14" s="28">
        <v>-1173</v>
      </c>
      <c r="H14" s="28">
        <v>-1063</v>
      </c>
      <c r="I14">
        <v>-438</v>
      </c>
      <c r="J14" s="28">
        <v>1791</v>
      </c>
      <c r="K14" s="28">
        <v>-1228</v>
      </c>
      <c r="L14" s="28">
        <v>-1728</v>
      </c>
      <c r="M14" s="28">
        <v>-1484</v>
      </c>
      <c r="N14" s="28">
        <v>-5324</v>
      </c>
    </row>
    <row r="15" spans="2:14" x14ac:dyDescent="0.3">
      <c r="B15" t="s">
        <v>94</v>
      </c>
      <c r="C15">
        <v>-441</v>
      </c>
      <c r="D15" s="28">
        <v>-606</v>
      </c>
      <c r="E15">
        <v>-606</v>
      </c>
      <c r="F15">
        <v>-810</v>
      </c>
      <c r="G15" s="28">
        <v>-1113</v>
      </c>
      <c r="H15" s="28">
        <v>-895</v>
      </c>
      <c r="I15">
        <v>-767</v>
      </c>
      <c r="J15">
        <v>-862</v>
      </c>
      <c r="K15" s="28">
        <v>-4163</v>
      </c>
      <c r="L15" s="28">
        <v>-1228</v>
      </c>
      <c r="M15" s="28">
        <v>-1192</v>
      </c>
      <c r="N15" s="28">
        <v>-1477</v>
      </c>
    </row>
    <row r="16" spans="2:14" x14ac:dyDescent="0.3">
      <c r="B16" t="s">
        <v>95</v>
      </c>
      <c r="C16">
        <v>1</v>
      </c>
      <c r="D16">
        <v>229</v>
      </c>
      <c r="E16">
        <v>560</v>
      </c>
      <c r="F16">
        <v>99</v>
      </c>
      <c r="G16">
        <v>176</v>
      </c>
      <c r="H16">
        <v>32</v>
      </c>
      <c r="I16" s="28">
        <v>13</v>
      </c>
      <c r="J16" s="28">
        <v>52</v>
      </c>
      <c r="K16" s="28">
        <v>97</v>
      </c>
      <c r="L16">
        <v>175</v>
      </c>
      <c r="M16">
        <v>181</v>
      </c>
      <c r="N16">
        <v>20</v>
      </c>
    </row>
    <row r="17" spans="2:14" x14ac:dyDescent="0.3">
      <c r="B17" t="s">
        <v>96</v>
      </c>
      <c r="C17" s="28">
        <v>-15854</v>
      </c>
      <c r="D17" s="28">
        <v>-9538</v>
      </c>
      <c r="E17" s="28">
        <v>-19353</v>
      </c>
      <c r="F17" s="28">
        <v>-20666</v>
      </c>
      <c r="G17" s="28">
        <v>-31214</v>
      </c>
      <c r="H17" s="28">
        <v>-51855</v>
      </c>
      <c r="I17" s="28">
        <v>-74365</v>
      </c>
      <c r="J17" s="28">
        <v>-36090</v>
      </c>
      <c r="K17" s="28">
        <v>-39920</v>
      </c>
      <c r="L17" s="28">
        <v>-48522</v>
      </c>
      <c r="M17" s="28">
        <v>-22649</v>
      </c>
      <c r="N17" s="28">
        <v>-21337</v>
      </c>
    </row>
    <row r="18" spans="2:14" x14ac:dyDescent="0.3">
      <c r="B18" t="s">
        <v>97</v>
      </c>
      <c r="C18" s="28">
        <v>16122</v>
      </c>
      <c r="D18" s="28">
        <v>9213</v>
      </c>
      <c r="E18" s="28">
        <v>19461</v>
      </c>
      <c r="F18" s="28">
        <v>20937</v>
      </c>
      <c r="G18" s="28">
        <v>30083</v>
      </c>
      <c r="H18" s="28">
        <v>52897</v>
      </c>
      <c r="I18" s="28">
        <v>74691</v>
      </c>
      <c r="J18" s="28">
        <v>37690</v>
      </c>
      <c r="K18" s="28">
        <v>38486</v>
      </c>
      <c r="L18" s="28">
        <v>47786</v>
      </c>
      <c r="M18" s="28">
        <v>23462</v>
      </c>
      <c r="N18" s="28">
        <v>19846</v>
      </c>
    </row>
    <row r="19" spans="2:14" x14ac:dyDescent="0.3">
      <c r="B19" t="s">
        <v>98</v>
      </c>
      <c r="C19">
        <v>214</v>
      </c>
      <c r="D19">
        <v>232</v>
      </c>
      <c r="E19">
        <v>218</v>
      </c>
      <c r="F19">
        <v>315</v>
      </c>
      <c r="G19">
        <v>264</v>
      </c>
      <c r="H19">
        <v>297</v>
      </c>
      <c r="I19">
        <v>289</v>
      </c>
      <c r="J19">
        <v>351</v>
      </c>
      <c r="K19">
        <v>277</v>
      </c>
      <c r="L19">
        <v>161</v>
      </c>
      <c r="M19">
        <v>259</v>
      </c>
      <c r="N19">
        <v>425</v>
      </c>
    </row>
    <row r="20" spans="2:14" x14ac:dyDescent="0.3">
      <c r="B20" t="s">
        <v>99</v>
      </c>
      <c r="C20">
        <v>38</v>
      </c>
      <c r="D20">
        <v>16</v>
      </c>
      <c r="E20">
        <v>24</v>
      </c>
      <c r="F20">
        <v>33</v>
      </c>
      <c r="G20">
        <v>14</v>
      </c>
      <c r="H20">
        <v>0</v>
      </c>
      <c r="I20">
        <v>1</v>
      </c>
      <c r="J20">
        <v>1</v>
      </c>
      <c r="K20">
        <v>1</v>
      </c>
      <c r="L20">
        <v>1</v>
      </c>
      <c r="M20">
        <v>2</v>
      </c>
      <c r="N20">
        <v>3</v>
      </c>
    </row>
    <row r="21" spans="2:14" x14ac:dyDescent="0.3">
      <c r="B21" t="s">
        <v>100</v>
      </c>
      <c r="C21">
        <v>0</v>
      </c>
      <c r="D21">
        <v>-101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2:14" x14ac:dyDescent="0.3">
      <c r="B22" t="s">
        <v>125</v>
      </c>
      <c r="C22">
        <v>-89</v>
      </c>
      <c r="D22">
        <v>-104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2:14" x14ac:dyDescent="0.3">
      <c r="B23" t="s">
        <v>102</v>
      </c>
      <c r="C23">
        <v>0</v>
      </c>
      <c r="D23">
        <v>0</v>
      </c>
      <c r="E23">
        <v>200</v>
      </c>
      <c r="F23">
        <v>161</v>
      </c>
      <c r="G23">
        <v>20</v>
      </c>
      <c r="H23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2:14" x14ac:dyDescent="0.3">
      <c r="B24" t="s">
        <v>103</v>
      </c>
      <c r="C24">
        <v>0</v>
      </c>
      <c r="D24">
        <v>0</v>
      </c>
      <c r="E24" s="28">
        <v>0</v>
      </c>
      <c r="F24" s="28">
        <v>0</v>
      </c>
      <c r="G24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-334</v>
      </c>
      <c r="N24" s="28">
        <v>0</v>
      </c>
    </row>
    <row r="25" spans="2:14" x14ac:dyDescent="0.3">
      <c r="B25" t="s">
        <v>105</v>
      </c>
      <c r="C25" s="28">
        <v>72</v>
      </c>
      <c r="D25" s="28">
        <v>183</v>
      </c>
      <c r="E25" s="28">
        <v>-367</v>
      </c>
      <c r="F25" s="28">
        <v>-351</v>
      </c>
      <c r="G25" s="28">
        <v>597</v>
      </c>
      <c r="H25" s="28">
        <v>-1612</v>
      </c>
      <c r="I25" s="28">
        <v>-300</v>
      </c>
      <c r="J25" s="28">
        <v>649</v>
      </c>
      <c r="K25" s="28">
        <v>3994</v>
      </c>
      <c r="L25" s="28">
        <v>-101</v>
      </c>
      <c r="M25" s="28">
        <v>-1213</v>
      </c>
      <c r="N25" s="28">
        <v>-2804</v>
      </c>
    </row>
    <row r="26" spans="2:14" x14ac:dyDescent="0.3">
      <c r="B26" t="s">
        <v>106</v>
      </c>
      <c r="C26" s="28">
        <v>-4147</v>
      </c>
      <c r="D26" s="28">
        <v>-2960</v>
      </c>
      <c r="E26" s="28">
        <v>-3462</v>
      </c>
      <c r="F26" s="28">
        <v>-3864</v>
      </c>
      <c r="G26" s="28">
        <v>-4214</v>
      </c>
      <c r="H26" s="28">
        <v>-4975</v>
      </c>
      <c r="I26" s="28">
        <v>-5390</v>
      </c>
      <c r="J26" s="28">
        <v>-6819</v>
      </c>
      <c r="K26" s="28">
        <v>-9309</v>
      </c>
      <c r="L26" s="28">
        <v>-8015</v>
      </c>
      <c r="M26" s="28">
        <v>-8953</v>
      </c>
      <c r="N26" s="28">
        <v>-10034</v>
      </c>
    </row>
    <row r="27" spans="2:14" x14ac:dyDescent="0.3">
      <c r="B27" t="s">
        <v>107</v>
      </c>
      <c r="C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2:14" x14ac:dyDescent="0.3">
      <c r="B28" t="s">
        <v>109</v>
      </c>
      <c r="C28" s="28">
        <v>25</v>
      </c>
      <c r="D28" s="28">
        <v>0</v>
      </c>
      <c r="E28" s="28">
        <v>0</v>
      </c>
      <c r="F28" s="28">
        <v>177</v>
      </c>
      <c r="G28" s="28">
        <v>460</v>
      </c>
      <c r="H28" s="28">
        <v>0</v>
      </c>
      <c r="I28" s="28">
        <v>99</v>
      </c>
      <c r="J28" s="28">
        <v>0</v>
      </c>
      <c r="K28" s="28">
        <v>188</v>
      </c>
      <c r="L28" s="28">
        <v>55</v>
      </c>
      <c r="M28" s="28">
        <v>286</v>
      </c>
      <c r="N28" s="28">
        <v>0</v>
      </c>
    </row>
    <row r="29" spans="2:14" x14ac:dyDescent="0.3">
      <c r="B29" t="s">
        <v>110</v>
      </c>
      <c r="C29" s="28">
        <v>0</v>
      </c>
      <c r="D29" s="28">
        <v>-15</v>
      </c>
      <c r="E29" s="28">
        <v>-3</v>
      </c>
      <c r="F29" s="28">
        <v>0</v>
      </c>
      <c r="G29" s="28">
        <v>-360</v>
      </c>
      <c r="H29" s="28">
        <v>-277</v>
      </c>
      <c r="I29" s="28">
        <v>0</v>
      </c>
      <c r="J29" s="28">
        <v>-99</v>
      </c>
      <c r="K29" s="28">
        <v>-188</v>
      </c>
      <c r="L29" s="28">
        <v>-55</v>
      </c>
      <c r="M29" s="28">
        <v>-208</v>
      </c>
      <c r="N29" s="28">
        <v>-85</v>
      </c>
    </row>
    <row r="30" spans="2:14" x14ac:dyDescent="0.3">
      <c r="B30" t="s">
        <v>112</v>
      </c>
      <c r="C30">
        <v>-26</v>
      </c>
      <c r="D30">
        <v>-29</v>
      </c>
      <c r="E30">
        <v>-18</v>
      </c>
      <c r="F30">
        <v>-2</v>
      </c>
      <c r="G30">
        <v>-14</v>
      </c>
      <c r="H30">
        <v>-6</v>
      </c>
      <c r="I30">
        <v>-7</v>
      </c>
      <c r="J30">
        <v>-90</v>
      </c>
      <c r="K30">
        <v>-92</v>
      </c>
      <c r="L30">
        <v>-82</v>
      </c>
      <c r="M30">
        <v>-88</v>
      </c>
      <c r="N30">
        <v>-110</v>
      </c>
    </row>
    <row r="31" spans="2:14" x14ac:dyDescent="0.3">
      <c r="B31" t="s">
        <v>113</v>
      </c>
      <c r="C31" s="28">
        <v>-3558</v>
      </c>
      <c r="D31" s="28">
        <v>-2481</v>
      </c>
      <c r="E31" s="28">
        <v>-2912</v>
      </c>
      <c r="F31" s="28">
        <v>-3354</v>
      </c>
      <c r="G31" s="28">
        <v>-3572</v>
      </c>
      <c r="H31" s="28">
        <v>-3911</v>
      </c>
      <c r="I31" s="28">
        <v>-4554</v>
      </c>
      <c r="J31" s="28">
        <v>-5196</v>
      </c>
      <c r="K31" s="28">
        <v>-8811</v>
      </c>
      <c r="L31" s="28">
        <v>-7526</v>
      </c>
      <c r="M31" s="28">
        <v>-8474</v>
      </c>
      <c r="N31" s="28">
        <v>-9416</v>
      </c>
    </row>
    <row r="32" spans="2:14" x14ac:dyDescent="0.3">
      <c r="B32" t="s">
        <v>114</v>
      </c>
      <c r="C32" s="28">
        <v>0</v>
      </c>
      <c r="D32" s="28">
        <v>0</v>
      </c>
      <c r="E32" s="28">
        <v>0</v>
      </c>
      <c r="F32">
        <v>0</v>
      </c>
      <c r="G32">
        <v>0</v>
      </c>
      <c r="H32">
        <v>0</v>
      </c>
      <c r="I32">
        <v>0</v>
      </c>
      <c r="J32">
        <v>-373</v>
      </c>
      <c r="K32">
        <v>-406</v>
      </c>
      <c r="L32">
        <v>-407</v>
      </c>
      <c r="M32">
        <v>-467</v>
      </c>
      <c r="N32">
        <v>-423</v>
      </c>
    </row>
    <row r="33" spans="2:14" x14ac:dyDescent="0.3">
      <c r="B33" t="s">
        <v>115</v>
      </c>
      <c r="C33">
        <v>-596</v>
      </c>
      <c r="D33">
        <v>-437</v>
      </c>
      <c r="E33">
        <v>-533</v>
      </c>
      <c r="F33">
        <v>-685</v>
      </c>
      <c r="G33">
        <v>-728</v>
      </c>
      <c r="H33">
        <v>-781</v>
      </c>
      <c r="I33">
        <v>-928</v>
      </c>
      <c r="J33" s="28">
        <v>-1061</v>
      </c>
      <c r="K33">
        <v>0</v>
      </c>
      <c r="L33" s="28">
        <v>0</v>
      </c>
      <c r="M33" s="28">
        <v>-2</v>
      </c>
      <c r="N33" s="28">
        <v>0</v>
      </c>
    </row>
    <row r="34" spans="2:14" x14ac:dyDescent="0.3">
      <c r="B34" t="s">
        <v>3</v>
      </c>
      <c r="C34">
        <v>-480</v>
      </c>
      <c r="D34" s="28">
        <v>383</v>
      </c>
      <c r="E34" s="28">
        <v>-33</v>
      </c>
      <c r="F34">
        <v>25</v>
      </c>
      <c r="G34">
        <v>-202</v>
      </c>
      <c r="H34">
        <v>21</v>
      </c>
      <c r="I34">
        <v>-28</v>
      </c>
      <c r="J34" s="28">
        <v>2595</v>
      </c>
      <c r="K34" s="28">
        <v>-1374</v>
      </c>
      <c r="L34">
        <v>-695</v>
      </c>
      <c r="M34">
        <v>-446</v>
      </c>
      <c r="N34" s="28">
        <v>111</v>
      </c>
    </row>
    <row r="35" spans="2:14" x14ac:dyDescent="0.3">
      <c r="B35" t="s">
        <v>3</v>
      </c>
      <c r="C35" s="28">
        <v>2815</v>
      </c>
      <c r="D35" s="28">
        <v>5488</v>
      </c>
      <c r="E35" s="28">
        <v>-2499</v>
      </c>
      <c r="F35" s="28">
        <v>4277</v>
      </c>
      <c r="G35" s="28">
        <v>4500</v>
      </c>
      <c r="H35" s="28">
        <v>-2589</v>
      </c>
      <c r="I35" s="28">
        <v>-3167</v>
      </c>
      <c r="J35">
        <v>730</v>
      </c>
      <c r="K35" s="28">
        <v>6843</v>
      </c>
      <c r="L35" s="28">
        <v>-3092</v>
      </c>
      <c r="M35" s="28">
        <v>13232</v>
      </c>
      <c r="N35" s="28">
        <v>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FC2C-E1A3-4ADB-A63E-8AF7153C7D3D}">
  <dimension ref="A1:L93"/>
  <sheetViews>
    <sheetView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A50" sqref="A50"/>
    </sheetView>
  </sheetViews>
  <sheetFormatPr defaultColWidth="10.44140625" defaultRowHeight="13.2" x14ac:dyDescent="0.25"/>
  <cols>
    <col min="1" max="1" width="26.6640625" style="1" bestFit="1" customWidth="1"/>
    <col min="2" max="11" width="11.44140625" style="1" bestFit="1" customWidth="1"/>
    <col min="12" max="16384" width="10.44140625" style="1"/>
  </cols>
  <sheetData>
    <row r="1" spans="1:11" s="3" customFormat="1" x14ac:dyDescent="0.25">
      <c r="A1" s="3" t="s">
        <v>55</v>
      </c>
      <c r="B1" s="3" t="s">
        <v>54</v>
      </c>
      <c r="E1" s="48" t="str">
        <f>IF(B2&lt;&gt;B3, "A NEW VERSION OF THE WORKSHEET IS AVAILABLE", "")</f>
        <v/>
      </c>
      <c r="F1" s="48"/>
      <c r="G1" s="48"/>
      <c r="H1" s="48"/>
      <c r="I1" s="48"/>
      <c r="J1" s="48"/>
      <c r="K1" s="48"/>
    </row>
    <row r="2" spans="1:11" x14ac:dyDescent="0.25">
      <c r="A2" s="3" t="s">
        <v>53</v>
      </c>
      <c r="B2" s="1">
        <v>2.1</v>
      </c>
      <c r="E2" s="49" t="s">
        <v>52</v>
      </c>
      <c r="F2" s="49"/>
      <c r="G2" s="49"/>
      <c r="H2" s="49"/>
      <c r="I2" s="49"/>
      <c r="J2" s="49"/>
      <c r="K2" s="49"/>
    </row>
    <row r="3" spans="1:11" x14ac:dyDescent="0.25">
      <c r="A3" s="3" t="s">
        <v>51</v>
      </c>
      <c r="B3" s="1">
        <v>2.1</v>
      </c>
    </row>
    <row r="4" spans="1:11" x14ac:dyDescent="0.25">
      <c r="A4" s="3"/>
    </row>
    <row r="5" spans="1:11" x14ac:dyDescent="0.25">
      <c r="A5" s="3" t="s">
        <v>50</v>
      </c>
    </row>
    <row r="6" spans="1:11" x14ac:dyDescent="0.25">
      <c r="A6" s="1" t="s">
        <v>49</v>
      </c>
      <c r="B6" s="1">
        <f>IF(B9&gt;0, B9/B8, 0)</f>
        <v>234.82844605974648</v>
      </c>
    </row>
    <row r="7" spans="1:11" x14ac:dyDescent="0.25">
      <c r="A7" s="1" t="s">
        <v>48</v>
      </c>
      <c r="B7" s="4">
        <v>1</v>
      </c>
    </row>
    <row r="8" spans="1:11" x14ac:dyDescent="0.25">
      <c r="A8" s="1" t="s">
        <v>47</v>
      </c>
      <c r="B8" s="4">
        <v>2256.1999999999998</v>
      </c>
    </row>
    <row r="9" spans="1:11" x14ac:dyDescent="0.25">
      <c r="A9" s="1" t="s">
        <v>46</v>
      </c>
      <c r="B9" s="4">
        <v>529819.93999999994</v>
      </c>
    </row>
    <row r="15" spans="1:11" x14ac:dyDescent="0.25">
      <c r="A15" s="3" t="s">
        <v>45</v>
      </c>
      <c r="B15" s="1">
        <f>B26+B34</f>
        <v>6969.56</v>
      </c>
      <c r="K15" s="1">
        <f>K17-K18-K20-K21-K22-K23-K19</f>
        <v>17450</v>
      </c>
    </row>
    <row r="16" spans="1:11" s="5" customFormat="1" x14ac:dyDescent="0.25">
      <c r="A16" s="7" t="s">
        <v>7</v>
      </c>
      <c r="B16" s="6">
        <v>42094</v>
      </c>
      <c r="C16" s="6">
        <v>42460</v>
      </c>
      <c r="D16" s="6">
        <v>42825</v>
      </c>
      <c r="E16" s="6">
        <v>43190</v>
      </c>
      <c r="F16" s="6">
        <v>43555</v>
      </c>
      <c r="G16" s="6">
        <v>43921</v>
      </c>
      <c r="H16" s="6">
        <v>44286</v>
      </c>
      <c r="I16" s="6">
        <v>44651</v>
      </c>
      <c r="J16" s="6">
        <v>45016</v>
      </c>
      <c r="K16" s="6">
        <v>45382</v>
      </c>
    </row>
    <row r="17" spans="1:11" x14ac:dyDescent="0.25">
      <c r="A17" s="1" t="s">
        <v>34</v>
      </c>
      <c r="B17" s="4">
        <v>31972.19</v>
      </c>
      <c r="C17" s="4">
        <v>32186</v>
      </c>
      <c r="D17" s="4">
        <v>33162</v>
      </c>
      <c r="E17" s="4">
        <v>35545</v>
      </c>
      <c r="F17" s="4">
        <v>39310</v>
      </c>
      <c r="G17" s="4">
        <v>39783</v>
      </c>
      <c r="H17" s="4">
        <v>47028</v>
      </c>
      <c r="I17" s="4">
        <v>52446</v>
      </c>
      <c r="J17" s="4">
        <v>60580</v>
      </c>
      <c r="K17" s="4">
        <v>61896</v>
      </c>
    </row>
    <row r="18" spans="1:11" ht="14.4" x14ac:dyDescent="0.3">
      <c r="A18" s="1" t="s">
        <v>44</v>
      </c>
      <c r="B18" s="9">
        <v>13509.4</v>
      </c>
      <c r="C18" s="9">
        <v>13184</v>
      </c>
      <c r="D18" s="9">
        <v>13606</v>
      </c>
      <c r="E18" s="9">
        <v>14233</v>
      </c>
      <c r="F18" s="9">
        <v>15845</v>
      </c>
      <c r="G18" s="9">
        <v>15697</v>
      </c>
      <c r="H18" s="9">
        <v>20141</v>
      </c>
      <c r="I18" s="9">
        <v>22871</v>
      </c>
      <c r="J18" s="9">
        <v>28427</v>
      </c>
      <c r="K18" s="9">
        <v>26822</v>
      </c>
    </row>
    <row r="19" spans="1:11" ht="14.4" x14ac:dyDescent="0.3">
      <c r="A19" s="1" t="s">
        <v>43</v>
      </c>
      <c r="B19" s="9">
        <v>-57.04</v>
      </c>
      <c r="C19" s="9">
        <v>-83</v>
      </c>
      <c r="D19" s="9">
        <v>-144</v>
      </c>
      <c r="E19" s="9">
        <v>72</v>
      </c>
      <c r="F19" s="9">
        <v>-12</v>
      </c>
      <c r="G19" s="9">
        <v>108</v>
      </c>
      <c r="H19" s="9">
        <v>405</v>
      </c>
      <c r="I19" s="9">
        <v>22</v>
      </c>
      <c r="J19" s="9">
        <v>75</v>
      </c>
      <c r="K19" s="9">
        <v>11</v>
      </c>
    </row>
    <row r="20" spans="1:11" x14ac:dyDescent="0.25">
      <c r="A20" s="1" t="s">
        <v>42</v>
      </c>
      <c r="B20" s="4">
        <v>346.97</v>
      </c>
      <c r="C20" s="4">
        <v>309</v>
      </c>
      <c r="D20" s="4">
        <v>295</v>
      </c>
      <c r="E20" s="4">
        <v>295</v>
      </c>
      <c r="F20" s="4">
        <v>308</v>
      </c>
      <c r="G20" s="4">
        <v>299</v>
      </c>
      <c r="H20" s="4">
        <v>339</v>
      </c>
      <c r="I20" s="4">
        <v>318</v>
      </c>
      <c r="J20" s="4">
        <v>384</v>
      </c>
      <c r="K20" s="4">
        <v>446</v>
      </c>
    </row>
    <row r="21" spans="1:11" x14ac:dyDescent="0.25">
      <c r="A21" s="1" t="s">
        <v>41</v>
      </c>
      <c r="B21" s="4">
        <v>3164.64</v>
      </c>
      <c r="C21" s="4">
        <v>2966</v>
      </c>
      <c r="D21" s="4">
        <v>2887</v>
      </c>
      <c r="E21" s="4">
        <v>2998</v>
      </c>
      <c r="F21" s="4">
        <v>3041</v>
      </c>
      <c r="G21" s="4">
        <v>2906</v>
      </c>
      <c r="H21" s="4">
        <v>2868</v>
      </c>
      <c r="I21" s="4">
        <v>3354</v>
      </c>
      <c r="J21" s="4">
        <v>3791</v>
      </c>
      <c r="K21" s="4">
        <v>3385</v>
      </c>
    </row>
    <row r="22" spans="1:11" x14ac:dyDescent="0.25">
      <c r="A22" s="1" t="s">
        <v>40</v>
      </c>
      <c r="B22" s="4">
        <v>1723.87</v>
      </c>
      <c r="C22" s="4">
        <v>1680</v>
      </c>
      <c r="D22" s="4">
        <v>1743</v>
      </c>
      <c r="E22" s="4">
        <v>1860</v>
      </c>
      <c r="F22" s="4">
        <v>1875</v>
      </c>
      <c r="G22" s="4">
        <v>1820</v>
      </c>
      <c r="H22" s="4">
        <v>2358</v>
      </c>
      <c r="I22" s="4">
        <v>2545</v>
      </c>
      <c r="J22" s="4">
        <v>2854</v>
      </c>
      <c r="K22" s="4">
        <v>3009</v>
      </c>
    </row>
    <row r="23" spans="1:11" x14ac:dyDescent="0.25">
      <c r="A23" s="1" t="s">
        <v>39</v>
      </c>
      <c r="B23" s="4">
        <v>6769.04</v>
      </c>
      <c r="C23" s="4">
        <v>6741</v>
      </c>
      <c r="D23" s="4">
        <v>6689</v>
      </c>
      <c r="E23" s="4">
        <v>7252</v>
      </c>
      <c r="F23" s="4">
        <v>7796</v>
      </c>
      <c r="G23" s="4">
        <v>7620</v>
      </c>
      <c r="H23" s="4">
        <v>7906</v>
      </c>
      <c r="I23" s="4">
        <v>8164</v>
      </c>
      <c r="J23" s="4">
        <v>8785</v>
      </c>
      <c r="K23" s="4">
        <v>10773</v>
      </c>
    </row>
    <row r="24" spans="1:11" x14ac:dyDescent="0.25">
      <c r="A24" s="1" t="s">
        <v>38</v>
      </c>
      <c r="B24" s="4">
        <v>988.81</v>
      </c>
      <c r="C24" s="4">
        <v>1313</v>
      </c>
      <c r="D24" s="4">
        <v>1470</v>
      </c>
      <c r="E24" s="4">
        <v>1480</v>
      </c>
      <c r="F24" s="4">
        <v>1553</v>
      </c>
      <c r="G24" s="4">
        <v>1688</v>
      </c>
      <c r="H24" s="4">
        <v>2195</v>
      </c>
      <c r="I24" s="4">
        <v>2359</v>
      </c>
      <c r="J24" s="4">
        <v>2267</v>
      </c>
      <c r="K24" s="4">
        <v>2813</v>
      </c>
    </row>
    <row r="25" spans="1:11" x14ac:dyDescent="0.25">
      <c r="A25" s="1" t="s">
        <v>32</v>
      </c>
      <c r="B25" s="4">
        <v>1247.18</v>
      </c>
      <c r="C25" s="4">
        <v>486</v>
      </c>
      <c r="D25" s="4">
        <v>606</v>
      </c>
      <c r="E25" s="4">
        <v>353</v>
      </c>
      <c r="F25" s="4">
        <v>322</v>
      </c>
      <c r="G25" s="4">
        <v>424</v>
      </c>
      <c r="H25" s="4">
        <v>170</v>
      </c>
      <c r="I25" s="4">
        <v>219</v>
      </c>
      <c r="J25" s="4">
        <v>448</v>
      </c>
      <c r="K25" s="4">
        <v>817</v>
      </c>
    </row>
    <row r="26" spans="1:11" x14ac:dyDescent="0.25">
      <c r="A26" s="1" t="s">
        <v>31</v>
      </c>
      <c r="B26" s="4">
        <v>322.39</v>
      </c>
      <c r="C26" s="4">
        <v>353</v>
      </c>
      <c r="D26" s="4">
        <v>432</v>
      </c>
      <c r="E26" s="4">
        <v>520</v>
      </c>
      <c r="F26" s="4">
        <v>565</v>
      </c>
      <c r="G26" s="4">
        <v>1002</v>
      </c>
      <c r="H26" s="4">
        <v>1074</v>
      </c>
      <c r="I26" s="4">
        <v>1091</v>
      </c>
      <c r="J26" s="4">
        <v>1137</v>
      </c>
      <c r="K26" s="4">
        <v>1216</v>
      </c>
    </row>
    <row r="27" spans="1:11" ht="14.4" x14ac:dyDescent="0.3">
      <c r="A27" s="1" t="s">
        <v>30</v>
      </c>
      <c r="B27" s="4">
        <v>17.7</v>
      </c>
      <c r="C27" s="4">
        <v>17</v>
      </c>
      <c r="D27" s="4">
        <v>35</v>
      </c>
      <c r="E27" s="4">
        <v>26</v>
      </c>
      <c r="F27" s="4">
        <v>33</v>
      </c>
      <c r="G27" s="4">
        <v>118</v>
      </c>
      <c r="H27" s="4">
        <v>117</v>
      </c>
      <c r="I27" s="4">
        <v>106</v>
      </c>
      <c r="J27" s="9">
        <v>114</v>
      </c>
      <c r="K27" s="9">
        <v>334</v>
      </c>
    </row>
    <row r="28" spans="1:11" x14ac:dyDescent="0.25">
      <c r="A28" s="1" t="s">
        <v>29</v>
      </c>
      <c r="B28" s="4">
        <v>6319.51</v>
      </c>
      <c r="C28" s="4">
        <v>6026</v>
      </c>
      <c r="D28" s="4">
        <v>6467</v>
      </c>
      <c r="E28" s="4">
        <v>7306</v>
      </c>
      <c r="F28" s="4">
        <v>8604</v>
      </c>
      <c r="G28" s="4">
        <v>9165</v>
      </c>
      <c r="H28" s="4">
        <v>10605</v>
      </c>
      <c r="I28" s="4">
        <v>11879</v>
      </c>
      <c r="J28" s="4">
        <v>13344</v>
      </c>
      <c r="K28" s="4">
        <v>13926</v>
      </c>
    </row>
    <row r="29" spans="1:11" x14ac:dyDescent="0.25">
      <c r="A29" s="1" t="s">
        <v>28</v>
      </c>
      <c r="B29" s="4">
        <v>1944</v>
      </c>
      <c r="C29" s="4">
        <v>1875</v>
      </c>
      <c r="D29" s="4">
        <v>1977</v>
      </c>
      <c r="E29" s="4">
        <v>2079</v>
      </c>
      <c r="F29" s="4">
        <v>2544</v>
      </c>
      <c r="G29" s="4">
        <v>2409</v>
      </c>
      <c r="H29" s="4">
        <v>2606</v>
      </c>
      <c r="I29" s="4">
        <v>2987</v>
      </c>
      <c r="J29" s="4">
        <v>3201</v>
      </c>
      <c r="K29" s="4">
        <v>3644</v>
      </c>
    </row>
    <row r="30" spans="1:11" x14ac:dyDescent="0.25">
      <c r="A30" s="1" t="s">
        <v>27</v>
      </c>
      <c r="B30" s="4">
        <v>4363.08</v>
      </c>
      <c r="C30" s="4">
        <v>4151</v>
      </c>
      <c r="D30" s="4">
        <v>4476</v>
      </c>
      <c r="E30" s="4">
        <v>5214</v>
      </c>
      <c r="F30" s="4">
        <v>6054</v>
      </c>
      <c r="G30" s="4">
        <v>6748</v>
      </c>
      <c r="H30" s="4">
        <v>7995</v>
      </c>
      <c r="I30" s="4">
        <v>8879</v>
      </c>
      <c r="J30" s="4">
        <v>10120</v>
      </c>
      <c r="K30" s="4">
        <v>10277</v>
      </c>
    </row>
    <row r="31" spans="1:11" x14ac:dyDescent="0.25">
      <c r="A31" s="1" t="s">
        <v>37</v>
      </c>
      <c r="B31" s="4">
        <v>3245.25</v>
      </c>
      <c r="C31" s="4">
        <v>3456</v>
      </c>
      <c r="D31" s="4">
        <v>3672</v>
      </c>
      <c r="E31" s="4">
        <v>4320</v>
      </c>
      <c r="F31" s="4">
        <v>4752</v>
      </c>
      <c r="G31" s="4">
        <v>5400</v>
      </c>
      <c r="H31" s="4">
        <v>9517.5</v>
      </c>
      <c r="I31" s="4">
        <v>7990</v>
      </c>
      <c r="J31" s="4">
        <v>9165</v>
      </c>
      <c r="K31" s="4">
        <v>9870</v>
      </c>
    </row>
    <row r="32" spans="1:11" x14ac:dyDescent="0.25">
      <c r="A32" s="1" t="s">
        <v>36</v>
      </c>
      <c r="B32" s="10">
        <f t="shared" ref="B32:K32" si="0">B29/B28</f>
        <v>0.30761878689961719</v>
      </c>
      <c r="C32" s="10">
        <f t="shared" si="0"/>
        <v>0.31115167607036176</v>
      </c>
      <c r="D32" s="10">
        <f t="shared" si="0"/>
        <v>0.30570589144889437</v>
      </c>
      <c r="E32" s="10">
        <f t="shared" si="0"/>
        <v>0.2845606350944429</v>
      </c>
      <c r="F32" s="10">
        <f t="shared" si="0"/>
        <v>0.29567642956764295</v>
      </c>
      <c r="G32" s="10">
        <f t="shared" si="0"/>
        <v>0.26284779050736495</v>
      </c>
      <c r="H32" s="10">
        <f t="shared" si="0"/>
        <v>0.24573314474304572</v>
      </c>
      <c r="I32" s="10">
        <f t="shared" si="0"/>
        <v>0.25145214243623198</v>
      </c>
      <c r="J32" s="10">
        <f t="shared" si="0"/>
        <v>0.23988309352517986</v>
      </c>
      <c r="K32" s="10">
        <f t="shared" si="0"/>
        <v>0.26166882091052707</v>
      </c>
    </row>
    <row r="34" spans="1:11" x14ac:dyDescent="0.25">
      <c r="A34" s="1" t="s">
        <v>25</v>
      </c>
      <c r="B34" s="1">
        <f t="shared" ref="B34:K34" si="1">+B30+B29+B27+B26</f>
        <v>6647.17</v>
      </c>
      <c r="C34" s="1">
        <f t="shared" si="1"/>
        <v>6396</v>
      </c>
      <c r="D34" s="1">
        <f t="shared" si="1"/>
        <v>6920</v>
      </c>
      <c r="E34" s="1">
        <f t="shared" si="1"/>
        <v>7839</v>
      </c>
      <c r="F34" s="1">
        <f t="shared" si="1"/>
        <v>9196</v>
      </c>
      <c r="G34" s="1">
        <f t="shared" si="1"/>
        <v>10277</v>
      </c>
      <c r="H34" s="1">
        <f t="shared" si="1"/>
        <v>11792</v>
      </c>
      <c r="I34" s="1">
        <f t="shared" si="1"/>
        <v>13063</v>
      </c>
      <c r="J34" s="1">
        <f t="shared" si="1"/>
        <v>14572</v>
      </c>
      <c r="K34" s="1">
        <f t="shared" si="1"/>
        <v>15471</v>
      </c>
    </row>
    <row r="40" spans="1:11" x14ac:dyDescent="0.25">
      <c r="A40" s="3" t="s">
        <v>35</v>
      </c>
    </row>
    <row r="41" spans="1:11" s="5" customFormat="1" x14ac:dyDescent="0.25">
      <c r="A41" s="7" t="s">
        <v>7</v>
      </c>
      <c r="B41" s="6">
        <v>44834</v>
      </c>
      <c r="C41" s="6">
        <v>44926</v>
      </c>
      <c r="D41" s="6">
        <v>45016</v>
      </c>
      <c r="E41" s="6">
        <v>45107</v>
      </c>
      <c r="F41" s="6">
        <v>45199</v>
      </c>
      <c r="G41" s="6">
        <v>45291</v>
      </c>
      <c r="H41" s="6">
        <v>45382</v>
      </c>
      <c r="I41" s="6">
        <v>45473</v>
      </c>
      <c r="J41" s="6">
        <v>45565</v>
      </c>
      <c r="K41" s="6">
        <v>45657</v>
      </c>
    </row>
    <row r="42" spans="1:11" x14ac:dyDescent="0.25">
      <c r="A42" s="1" t="s">
        <v>34</v>
      </c>
      <c r="B42" s="4">
        <v>15144</v>
      </c>
      <c r="C42" s="4">
        <v>15597</v>
      </c>
      <c r="D42" s="4">
        <v>15215</v>
      </c>
      <c r="E42" s="4">
        <v>15496</v>
      </c>
      <c r="F42" s="4">
        <v>15623</v>
      </c>
      <c r="G42" s="4">
        <v>15567</v>
      </c>
      <c r="H42" s="4">
        <v>15210</v>
      </c>
      <c r="I42" s="4">
        <v>15707</v>
      </c>
      <c r="J42" s="4">
        <v>15926</v>
      </c>
      <c r="K42" s="4">
        <v>15818</v>
      </c>
    </row>
    <row r="43" spans="1:11" x14ac:dyDescent="0.25">
      <c r="A43" s="1" t="s">
        <v>33</v>
      </c>
      <c r="B43" s="4">
        <v>11665</v>
      </c>
      <c r="C43" s="4">
        <v>11903</v>
      </c>
      <c r="D43" s="4">
        <v>11643</v>
      </c>
      <c r="E43" s="4">
        <v>11832</v>
      </c>
      <c r="F43" s="4">
        <v>11828</v>
      </c>
      <c r="G43" s="4">
        <v>11902</v>
      </c>
      <c r="H43" s="4">
        <v>11675</v>
      </c>
      <c r="I43" s="4">
        <v>11965</v>
      </c>
      <c r="J43" s="4">
        <v>12139</v>
      </c>
      <c r="K43" s="4">
        <v>12123</v>
      </c>
    </row>
    <row r="44" spans="1:11" x14ac:dyDescent="0.25">
      <c r="A44" s="1" t="s">
        <v>32</v>
      </c>
      <c r="B44" s="4">
        <v>80</v>
      </c>
      <c r="C44" s="4">
        <v>7</v>
      </c>
      <c r="D44" s="4">
        <v>240</v>
      </c>
      <c r="E44" s="4">
        <v>146</v>
      </c>
      <c r="F44" s="4">
        <v>178</v>
      </c>
      <c r="G44" s="4">
        <v>184</v>
      </c>
      <c r="H44" s="4">
        <v>309</v>
      </c>
      <c r="I44" s="4">
        <v>209</v>
      </c>
      <c r="J44" s="4">
        <v>203</v>
      </c>
      <c r="K44" s="4">
        <v>740</v>
      </c>
    </row>
    <row r="45" spans="1:11" x14ac:dyDescent="0.25">
      <c r="A45" s="1" t="s">
        <v>31</v>
      </c>
      <c r="B45" s="4">
        <v>272</v>
      </c>
      <c r="C45" s="4">
        <v>293</v>
      </c>
      <c r="D45" s="4">
        <v>291</v>
      </c>
      <c r="E45" s="4">
        <v>286</v>
      </c>
      <c r="F45" s="4">
        <v>297</v>
      </c>
      <c r="G45" s="4">
        <v>313</v>
      </c>
      <c r="H45" s="4">
        <v>320</v>
      </c>
      <c r="I45" s="4">
        <v>329</v>
      </c>
      <c r="J45" s="4">
        <v>338</v>
      </c>
      <c r="K45" s="4">
        <v>341</v>
      </c>
    </row>
    <row r="46" spans="1:11" ht="14.4" x14ac:dyDescent="0.3">
      <c r="A46" s="1" t="s">
        <v>30</v>
      </c>
      <c r="B46" s="9">
        <v>28</v>
      </c>
      <c r="C46" s="9">
        <v>29</v>
      </c>
      <c r="D46" s="9">
        <v>29</v>
      </c>
      <c r="E46" s="9">
        <v>50</v>
      </c>
      <c r="F46" s="9">
        <v>88</v>
      </c>
      <c r="G46" s="9">
        <v>91</v>
      </c>
      <c r="H46" s="9">
        <v>105</v>
      </c>
      <c r="I46" s="9">
        <v>93</v>
      </c>
      <c r="J46" s="9">
        <v>110</v>
      </c>
      <c r="K46" s="9">
        <v>112</v>
      </c>
    </row>
    <row r="47" spans="1:11" x14ac:dyDescent="0.25">
      <c r="A47" s="1" t="s">
        <v>29</v>
      </c>
      <c r="B47" s="4">
        <v>3259</v>
      </c>
      <c r="C47" s="4">
        <v>3379</v>
      </c>
      <c r="D47" s="4">
        <v>3492</v>
      </c>
      <c r="E47" s="4">
        <v>3474</v>
      </c>
      <c r="F47" s="4">
        <v>3588</v>
      </c>
      <c r="G47" s="4">
        <v>3445</v>
      </c>
      <c r="H47" s="4">
        <v>3419</v>
      </c>
      <c r="I47" s="4">
        <v>3529</v>
      </c>
      <c r="J47" s="4">
        <v>3542</v>
      </c>
      <c r="K47" s="4">
        <v>3982</v>
      </c>
    </row>
    <row r="48" spans="1:11" x14ac:dyDescent="0.25">
      <c r="A48" s="1" t="s">
        <v>28</v>
      </c>
      <c r="B48" s="4">
        <v>589</v>
      </c>
      <c r="C48" s="4">
        <v>898</v>
      </c>
      <c r="D48" s="4">
        <v>891</v>
      </c>
      <c r="E48" s="4">
        <v>918</v>
      </c>
      <c r="F48" s="4">
        <v>931</v>
      </c>
      <c r="G48" s="4">
        <v>937</v>
      </c>
      <c r="H48" s="4">
        <v>858</v>
      </c>
      <c r="I48" s="4">
        <v>917</v>
      </c>
      <c r="J48" s="4">
        <v>947</v>
      </c>
      <c r="K48" s="4">
        <v>993</v>
      </c>
    </row>
    <row r="49" spans="1:11" x14ac:dyDescent="0.25">
      <c r="A49" s="1" t="s">
        <v>27</v>
      </c>
      <c r="B49" s="4">
        <v>2665</v>
      </c>
      <c r="C49" s="4">
        <v>2474</v>
      </c>
      <c r="D49" s="4">
        <v>2600</v>
      </c>
      <c r="E49" s="4">
        <v>2554</v>
      </c>
      <c r="F49" s="4">
        <v>2656</v>
      </c>
      <c r="G49" s="4">
        <v>2509</v>
      </c>
      <c r="H49" s="4">
        <v>2558</v>
      </c>
      <c r="I49" s="4">
        <v>2610</v>
      </c>
      <c r="J49" s="4">
        <v>2591</v>
      </c>
      <c r="K49" s="4">
        <v>2984</v>
      </c>
    </row>
    <row r="50" spans="1:11" x14ac:dyDescent="0.25">
      <c r="A50" s="1" t="s">
        <v>26</v>
      </c>
      <c r="B50" s="4">
        <v>3479</v>
      </c>
      <c r="C50" s="4">
        <v>3694</v>
      </c>
      <c r="D50" s="4">
        <v>3572</v>
      </c>
      <c r="E50" s="4">
        <v>3664</v>
      </c>
      <c r="F50" s="4">
        <v>3795</v>
      </c>
      <c r="G50" s="4">
        <v>3665</v>
      </c>
      <c r="H50" s="4">
        <v>3535</v>
      </c>
      <c r="I50" s="4">
        <v>3742</v>
      </c>
      <c r="J50" s="4">
        <v>3787</v>
      </c>
      <c r="K50" s="4">
        <v>3695</v>
      </c>
    </row>
    <row r="51" spans="1:11" x14ac:dyDescent="0.25">
      <c r="A51" s="1" t="s">
        <v>25</v>
      </c>
      <c r="B51" s="1">
        <f t="shared" ref="B51:K51" si="2">B49+B48+B46+B45</f>
        <v>3554</v>
      </c>
      <c r="C51" s="1">
        <f t="shared" si="2"/>
        <v>3694</v>
      </c>
      <c r="D51" s="1">
        <f t="shared" si="2"/>
        <v>3811</v>
      </c>
      <c r="E51" s="1">
        <f t="shared" si="2"/>
        <v>3808</v>
      </c>
      <c r="F51" s="1">
        <f t="shared" si="2"/>
        <v>3972</v>
      </c>
      <c r="G51" s="1">
        <f t="shared" si="2"/>
        <v>3850</v>
      </c>
      <c r="H51" s="1">
        <f t="shared" si="2"/>
        <v>3841</v>
      </c>
      <c r="I51" s="1">
        <f t="shared" si="2"/>
        <v>3949</v>
      </c>
      <c r="J51" s="1">
        <f t="shared" si="2"/>
        <v>3986</v>
      </c>
      <c r="K51" s="1">
        <f t="shared" si="2"/>
        <v>4430</v>
      </c>
    </row>
    <row r="55" spans="1:11" x14ac:dyDescent="0.25">
      <c r="A55" s="3" t="s">
        <v>24</v>
      </c>
    </row>
    <row r="56" spans="1:11" s="5" customFormat="1" x14ac:dyDescent="0.25">
      <c r="A56" s="7" t="s">
        <v>7</v>
      </c>
      <c r="B56" s="6">
        <v>42094</v>
      </c>
      <c r="C56" s="6">
        <v>42460</v>
      </c>
      <c r="D56" s="6">
        <v>42825</v>
      </c>
      <c r="E56" s="6">
        <v>43190</v>
      </c>
      <c r="F56" s="6">
        <v>43555</v>
      </c>
      <c r="G56" s="6">
        <v>43921</v>
      </c>
      <c r="H56" s="6">
        <v>44286</v>
      </c>
      <c r="I56" s="6">
        <v>44651</v>
      </c>
      <c r="J56" s="6">
        <v>45016</v>
      </c>
      <c r="K56" s="6">
        <v>45382</v>
      </c>
    </row>
    <row r="57" spans="1:11" x14ac:dyDescent="0.25">
      <c r="A57" s="1" t="s">
        <v>23</v>
      </c>
      <c r="B57" s="4">
        <v>216.35</v>
      </c>
      <c r="C57" s="4">
        <v>216</v>
      </c>
      <c r="D57" s="4">
        <v>216</v>
      </c>
      <c r="E57" s="4">
        <v>216</v>
      </c>
      <c r="F57" s="4">
        <v>216</v>
      </c>
      <c r="G57" s="4">
        <v>216</v>
      </c>
      <c r="H57" s="4">
        <v>235</v>
      </c>
      <c r="I57" s="4">
        <v>235</v>
      </c>
      <c r="J57" s="4">
        <v>235</v>
      </c>
      <c r="K57" s="4">
        <v>235</v>
      </c>
    </row>
    <row r="58" spans="1:11" x14ac:dyDescent="0.25">
      <c r="A58" s="1" t="s">
        <v>22</v>
      </c>
      <c r="B58" s="4">
        <v>3811.13</v>
      </c>
      <c r="C58" s="4">
        <v>6357</v>
      </c>
      <c r="D58" s="4">
        <v>6528</v>
      </c>
      <c r="E58" s="4">
        <v>7065</v>
      </c>
      <c r="F58" s="4">
        <v>7651</v>
      </c>
      <c r="G58" s="4">
        <v>8013</v>
      </c>
      <c r="H58" s="4">
        <v>47439</v>
      </c>
      <c r="I58" s="4">
        <v>48826</v>
      </c>
      <c r="J58" s="4">
        <v>50069</v>
      </c>
      <c r="K58" s="4">
        <v>50983</v>
      </c>
    </row>
    <row r="59" spans="1:11" ht="14.4" x14ac:dyDescent="0.3">
      <c r="A59" s="1" t="s">
        <v>21</v>
      </c>
      <c r="B59" s="9">
        <v>43.04</v>
      </c>
      <c r="C59" s="9">
        <v>177</v>
      </c>
      <c r="D59" s="9">
        <v>277</v>
      </c>
      <c r="E59" s="9"/>
      <c r="F59" s="9">
        <v>99</v>
      </c>
      <c r="G59" s="9"/>
      <c r="H59" s="9"/>
      <c r="I59" s="9">
        <v>1043</v>
      </c>
      <c r="J59" s="9">
        <v>1219</v>
      </c>
      <c r="K59" s="9">
        <v>1484</v>
      </c>
    </row>
    <row r="60" spans="1:11" x14ac:dyDescent="0.25">
      <c r="A60" s="1" t="s">
        <v>20</v>
      </c>
      <c r="B60" s="4">
        <v>10359.01</v>
      </c>
      <c r="C60" s="4">
        <v>8043</v>
      </c>
      <c r="D60" s="4">
        <v>8685</v>
      </c>
      <c r="E60" s="4">
        <v>10581</v>
      </c>
      <c r="F60" s="4">
        <v>10663</v>
      </c>
      <c r="G60" s="4">
        <v>11924</v>
      </c>
      <c r="H60" s="4">
        <v>21066</v>
      </c>
      <c r="I60" s="4">
        <v>20402</v>
      </c>
      <c r="J60" s="4">
        <v>21554</v>
      </c>
      <c r="K60" s="4">
        <v>25787</v>
      </c>
    </row>
    <row r="61" spans="1:11" s="3" customFormat="1" x14ac:dyDescent="0.25">
      <c r="A61" s="3" t="s">
        <v>15</v>
      </c>
      <c r="B61" s="4">
        <v>14429.53</v>
      </c>
      <c r="C61" s="4">
        <v>14793</v>
      </c>
      <c r="D61" s="4">
        <v>15706</v>
      </c>
      <c r="E61" s="4">
        <v>17862</v>
      </c>
      <c r="F61" s="4">
        <v>18629</v>
      </c>
      <c r="G61" s="4">
        <v>20153</v>
      </c>
      <c r="H61" s="4">
        <v>68740</v>
      </c>
      <c r="I61" s="4">
        <v>70506</v>
      </c>
      <c r="J61" s="4">
        <v>73077</v>
      </c>
      <c r="K61" s="4">
        <v>78489</v>
      </c>
    </row>
    <row r="62" spans="1:11" x14ac:dyDescent="0.25">
      <c r="A62" s="1" t="s">
        <v>19</v>
      </c>
      <c r="B62" s="4">
        <v>2821.01</v>
      </c>
      <c r="C62" s="4">
        <v>3258</v>
      </c>
      <c r="D62" s="4">
        <v>4419</v>
      </c>
      <c r="E62" s="4">
        <v>4528</v>
      </c>
      <c r="F62" s="4">
        <v>4715</v>
      </c>
      <c r="G62" s="4">
        <v>5479</v>
      </c>
      <c r="H62" s="4">
        <v>51443</v>
      </c>
      <c r="I62" s="4">
        <v>51473</v>
      </c>
      <c r="J62" s="4">
        <v>52678</v>
      </c>
      <c r="K62" s="4">
        <v>53744</v>
      </c>
    </row>
    <row r="63" spans="1:11" x14ac:dyDescent="0.25">
      <c r="A63" s="1" t="s">
        <v>18</v>
      </c>
      <c r="B63" s="4">
        <v>516.29999999999995</v>
      </c>
      <c r="C63" s="4">
        <v>408</v>
      </c>
      <c r="D63" s="4">
        <v>229</v>
      </c>
      <c r="E63" s="4">
        <v>461</v>
      </c>
      <c r="F63" s="4">
        <v>406</v>
      </c>
      <c r="G63" s="4">
        <v>597</v>
      </c>
      <c r="H63" s="4">
        <v>745</v>
      </c>
      <c r="I63" s="4">
        <v>1313</v>
      </c>
      <c r="J63" s="4">
        <v>1132</v>
      </c>
      <c r="K63" s="4">
        <v>1025</v>
      </c>
    </row>
    <row r="64" spans="1:11" ht="14.4" x14ac:dyDescent="0.3">
      <c r="A64" s="1" t="s">
        <v>17</v>
      </c>
      <c r="B64" s="4">
        <v>3025.08</v>
      </c>
      <c r="C64" s="9">
        <v>2592</v>
      </c>
      <c r="D64" s="4">
        <v>3794</v>
      </c>
      <c r="E64" s="4">
        <v>2873</v>
      </c>
      <c r="F64" s="4">
        <v>2716</v>
      </c>
      <c r="G64" s="4">
        <v>1255</v>
      </c>
      <c r="H64" s="4">
        <v>2709</v>
      </c>
      <c r="I64" s="4">
        <v>3521</v>
      </c>
      <c r="J64" s="4">
        <v>2882</v>
      </c>
      <c r="K64" s="4">
        <v>4625</v>
      </c>
    </row>
    <row r="65" spans="1:11" x14ac:dyDescent="0.25">
      <c r="A65" s="1" t="s">
        <v>16</v>
      </c>
      <c r="B65" s="4">
        <v>8067.14</v>
      </c>
      <c r="C65" s="4">
        <v>8535</v>
      </c>
      <c r="D65" s="4">
        <v>7264</v>
      </c>
      <c r="E65" s="4">
        <v>10000</v>
      </c>
      <c r="F65" s="4">
        <v>10792</v>
      </c>
      <c r="G65" s="4">
        <v>12822</v>
      </c>
      <c r="H65" s="4">
        <v>13843</v>
      </c>
      <c r="I65" s="4">
        <v>14199</v>
      </c>
      <c r="J65" s="4">
        <v>16385</v>
      </c>
      <c r="K65" s="4">
        <v>19095</v>
      </c>
    </row>
    <row r="66" spans="1:11" s="3" customFormat="1" x14ac:dyDescent="0.25">
      <c r="A66" s="3" t="s">
        <v>15</v>
      </c>
      <c r="B66" s="4">
        <v>14429.53</v>
      </c>
      <c r="C66" s="4">
        <v>14793</v>
      </c>
      <c r="D66" s="4">
        <v>15706</v>
      </c>
      <c r="E66" s="4">
        <v>17862</v>
      </c>
      <c r="F66" s="4">
        <v>18629</v>
      </c>
      <c r="G66" s="4">
        <v>20153</v>
      </c>
      <c r="H66" s="4">
        <v>68740</v>
      </c>
      <c r="I66" s="4">
        <v>70506</v>
      </c>
      <c r="J66" s="4">
        <v>73077</v>
      </c>
      <c r="K66" s="4">
        <v>78489</v>
      </c>
    </row>
    <row r="67" spans="1:11" x14ac:dyDescent="0.25">
      <c r="A67" s="1" t="s">
        <v>14</v>
      </c>
      <c r="B67" s="4">
        <v>1010.28</v>
      </c>
      <c r="C67" s="4">
        <v>1264</v>
      </c>
      <c r="D67" s="4">
        <v>1085</v>
      </c>
      <c r="E67" s="4">
        <v>1310</v>
      </c>
      <c r="F67" s="4">
        <v>1816</v>
      </c>
      <c r="G67" s="4">
        <v>1149</v>
      </c>
      <c r="H67" s="4">
        <v>1758</v>
      </c>
      <c r="I67" s="4">
        <v>2236</v>
      </c>
      <c r="J67" s="4">
        <v>3079</v>
      </c>
      <c r="K67" s="4">
        <v>2997</v>
      </c>
    </row>
    <row r="68" spans="1:11" ht="14.4" x14ac:dyDescent="0.3">
      <c r="A68" s="1" t="s">
        <v>13</v>
      </c>
      <c r="B68" s="9">
        <v>2848.79</v>
      </c>
      <c r="C68" s="9">
        <v>2726</v>
      </c>
      <c r="D68" s="9">
        <v>2541</v>
      </c>
      <c r="E68" s="9">
        <v>2513</v>
      </c>
      <c r="F68" s="9">
        <v>2574</v>
      </c>
      <c r="G68" s="9">
        <v>2767</v>
      </c>
      <c r="H68" s="9">
        <v>3579</v>
      </c>
      <c r="I68" s="9">
        <v>4096</v>
      </c>
      <c r="J68" s="9">
        <v>4251</v>
      </c>
      <c r="K68" s="9">
        <v>4022</v>
      </c>
    </row>
    <row r="69" spans="1:11" x14ac:dyDescent="0.25">
      <c r="A69" s="1" t="s">
        <v>12</v>
      </c>
      <c r="B69" s="4">
        <v>2689.49</v>
      </c>
      <c r="C69" s="4">
        <v>3009</v>
      </c>
      <c r="D69" s="4">
        <v>1828</v>
      </c>
      <c r="E69" s="4">
        <v>3485</v>
      </c>
      <c r="F69" s="4">
        <v>3757</v>
      </c>
      <c r="G69" s="4">
        <v>5113</v>
      </c>
      <c r="H69" s="4">
        <v>4471</v>
      </c>
      <c r="I69" s="4">
        <v>3846</v>
      </c>
      <c r="J69" s="4">
        <v>4678</v>
      </c>
      <c r="K69" s="4">
        <v>7559</v>
      </c>
    </row>
    <row r="70" spans="1:11" x14ac:dyDescent="0.25">
      <c r="A70" s="1" t="s">
        <v>11</v>
      </c>
      <c r="B70" s="4">
        <v>2163464851</v>
      </c>
      <c r="C70" s="4">
        <v>2163936971</v>
      </c>
      <c r="D70" s="4">
        <v>2164349639</v>
      </c>
      <c r="E70" s="4">
        <v>2164528777</v>
      </c>
      <c r="F70" s="4">
        <v>2164704405</v>
      </c>
      <c r="G70" s="4">
        <v>2164704405</v>
      </c>
      <c r="H70" s="4">
        <v>2349567819</v>
      </c>
      <c r="I70" s="4">
        <v>2349591262</v>
      </c>
      <c r="J70" s="4">
        <v>2349591262</v>
      </c>
      <c r="K70" s="4">
        <v>2349591262</v>
      </c>
    </row>
    <row r="71" spans="1:11" ht="13.8" x14ac:dyDescent="0.25">
      <c r="A71" s="1" t="s">
        <v>10</v>
      </c>
      <c r="B71" s="8"/>
      <c r="C71" s="8"/>
      <c r="G71" s="8"/>
      <c r="H71" s="8"/>
    </row>
    <row r="72" spans="1:11" x14ac:dyDescent="0.25">
      <c r="A72" s="1" t="s">
        <v>9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</row>
    <row r="73" spans="1:11" x14ac:dyDescent="0.25">
      <c r="H73" s="1">
        <f>H62-G62+H45</f>
        <v>46284</v>
      </c>
      <c r="I73" s="1">
        <f>I62-H62+I45</f>
        <v>359</v>
      </c>
      <c r="J73" s="1">
        <f>J62-I62+J45</f>
        <v>1543</v>
      </c>
      <c r="K73" s="1">
        <f>K62-J62+K45</f>
        <v>1407</v>
      </c>
    </row>
    <row r="80" spans="1:11" x14ac:dyDescent="0.25">
      <c r="A80" s="3" t="s">
        <v>8</v>
      </c>
    </row>
    <row r="81" spans="1:12" s="5" customFormat="1" x14ac:dyDescent="0.25">
      <c r="A81" s="7" t="s">
        <v>7</v>
      </c>
      <c r="B81" s="6">
        <v>42094</v>
      </c>
      <c r="C81" s="6">
        <v>42460</v>
      </c>
      <c r="D81" s="6">
        <v>42825</v>
      </c>
      <c r="E81" s="6">
        <v>43190</v>
      </c>
      <c r="F81" s="6">
        <v>43555</v>
      </c>
      <c r="G81" s="6">
        <v>43921</v>
      </c>
      <c r="H81" s="6">
        <v>44286</v>
      </c>
      <c r="I81" s="6">
        <v>44651</v>
      </c>
      <c r="J81" s="6">
        <v>45016</v>
      </c>
      <c r="K81" s="6">
        <v>45382</v>
      </c>
      <c r="L81" s="6"/>
    </row>
    <row r="82" spans="1:12" s="3" customFormat="1" x14ac:dyDescent="0.25">
      <c r="A82" s="1" t="s">
        <v>6</v>
      </c>
      <c r="B82" s="4">
        <v>3291.91</v>
      </c>
      <c r="C82" s="4">
        <v>4171</v>
      </c>
      <c r="D82" s="4">
        <v>5185</v>
      </c>
      <c r="E82" s="4">
        <v>6059</v>
      </c>
      <c r="F82" s="4">
        <v>5800</v>
      </c>
      <c r="G82" s="4">
        <v>7623</v>
      </c>
      <c r="H82" s="4">
        <v>9163</v>
      </c>
      <c r="I82" s="4">
        <v>9048</v>
      </c>
      <c r="J82" s="4">
        <v>9991</v>
      </c>
      <c r="K82" s="4">
        <v>15469</v>
      </c>
    </row>
    <row r="83" spans="1:12" x14ac:dyDescent="0.25">
      <c r="A83" s="1" t="s">
        <v>5</v>
      </c>
      <c r="B83" s="4">
        <v>137.97</v>
      </c>
      <c r="C83" s="4">
        <v>-282</v>
      </c>
      <c r="D83" s="4">
        <v>-1173</v>
      </c>
      <c r="E83" s="4">
        <v>-1063</v>
      </c>
      <c r="F83" s="4">
        <v>-438</v>
      </c>
      <c r="G83" s="4">
        <v>1791</v>
      </c>
      <c r="H83" s="4">
        <v>-1228</v>
      </c>
      <c r="I83" s="4">
        <v>-1728</v>
      </c>
      <c r="J83" s="4">
        <v>-1484</v>
      </c>
      <c r="K83" s="4">
        <v>-5324</v>
      </c>
    </row>
    <row r="84" spans="1:12" x14ac:dyDescent="0.25">
      <c r="A84" s="1" t="s">
        <v>4</v>
      </c>
      <c r="B84" s="4">
        <v>-3462.42</v>
      </c>
      <c r="C84" s="4">
        <v>-3864</v>
      </c>
      <c r="D84" s="4">
        <v>-4214</v>
      </c>
      <c r="E84" s="4">
        <v>-4975</v>
      </c>
      <c r="F84" s="4">
        <v>-5390</v>
      </c>
      <c r="G84" s="4">
        <v>-6819</v>
      </c>
      <c r="H84" s="4">
        <v>-9309</v>
      </c>
      <c r="I84" s="4">
        <v>-8015</v>
      </c>
      <c r="J84" s="4">
        <v>-8953</v>
      </c>
      <c r="K84" s="4">
        <v>-10034</v>
      </c>
    </row>
    <row r="85" spans="1:12" s="3" customFormat="1" x14ac:dyDescent="0.25">
      <c r="A85" s="1" t="s">
        <v>3</v>
      </c>
      <c r="B85" s="4">
        <v>-32.54</v>
      </c>
      <c r="C85" s="4">
        <v>25</v>
      </c>
      <c r="D85" s="4">
        <v>-202</v>
      </c>
      <c r="E85" s="4">
        <v>21</v>
      </c>
      <c r="F85" s="4">
        <v>-28</v>
      </c>
      <c r="G85" s="4">
        <v>2595</v>
      </c>
      <c r="H85" s="4">
        <v>-1374</v>
      </c>
      <c r="I85" s="4">
        <v>-695</v>
      </c>
      <c r="J85" s="4">
        <v>-446</v>
      </c>
      <c r="K85" s="4">
        <v>111</v>
      </c>
    </row>
    <row r="90" spans="1:12" s="3" customFormat="1" x14ac:dyDescent="0.25">
      <c r="A90" s="3" t="s">
        <v>2</v>
      </c>
      <c r="B90" s="4">
        <v>873.55</v>
      </c>
      <c r="C90" s="4">
        <v>869.5</v>
      </c>
      <c r="D90" s="4">
        <v>911.75</v>
      </c>
      <c r="E90" s="4">
        <v>1333.35</v>
      </c>
      <c r="F90" s="4">
        <v>1706.8</v>
      </c>
      <c r="G90" s="4">
        <v>2298.5</v>
      </c>
      <c r="H90" s="4">
        <v>2431.5</v>
      </c>
      <c r="I90" s="4">
        <v>2048.65</v>
      </c>
      <c r="J90" s="4">
        <v>2560.35</v>
      </c>
      <c r="K90" s="4">
        <v>2264.35</v>
      </c>
    </row>
    <row r="92" spans="1:12" s="3" customFormat="1" x14ac:dyDescent="0.25">
      <c r="A92" s="3" t="s">
        <v>1</v>
      </c>
    </row>
    <row r="93" spans="1:12" x14ac:dyDescent="0.25">
      <c r="A93" s="1" t="s">
        <v>0</v>
      </c>
      <c r="B93" s="2">
        <v>216.35</v>
      </c>
      <c r="C93" s="2">
        <v>216.39</v>
      </c>
      <c r="D93" s="2">
        <v>216.43</v>
      </c>
      <c r="E93" s="2">
        <v>216.45</v>
      </c>
      <c r="F93" s="2">
        <v>216.47</v>
      </c>
      <c r="G93" s="2">
        <v>216.48</v>
      </c>
      <c r="H93" s="2">
        <v>234.96</v>
      </c>
      <c r="I93" s="2">
        <v>234.96</v>
      </c>
      <c r="J93" s="2">
        <v>234.96</v>
      </c>
      <c r="K93" s="2">
        <v>234.96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C6C394EE-ED94-432A-B7FD-4C8D49A1C711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23DE-718F-4051-89D3-9173F9E87A47}">
  <sheetPr>
    <tabColor rgb="FF002060"/>
  </sheetPr>
  <dimension ref="A2:M112"/>
  <sheetViews>
    <sheetView showGridLines="0" workbookViewId="0">
      <pane xSplit="2" ySplit="4" topLeftCell="I26" activePane="bottomRight" state="frozen"/>
      <selection pane="topRight" activeCell="C1" sqref="C1"/>
      <selection pane="bottomLeft" activeCell="A5" sqref="A5"/>
      <selection pane="bottomRight" activeCell="B2" sqref="B2:M3"/>
    </sheetView>
  </sheetViews>
  <sheetFormatPr defaultRowHeight="14.4" x14ac:dyDescent="0.3"/>
  <cols>
    <col min="1" max="1" width="1.88671875" customWidth="1"/>
    <col min="2" max="2" width="26.44140625" bestFit="1" customWidth="1"/>
    <col min="3" max="3" width="13.88671875" bestFit="1" customWidth="1"/>
    <col min="4" max="12" width="11.88671875" bestFit="1" customWidth="1"/>
    <col min="13" max="13" width="10.88671875" bestFit="1" customWidth="1"/>
  </cols>
  <sheetData>
    <row r="2" spans="1:13" x14ac:dyDescent="0.3">
      <c r="B2" s="51" t="str">
        <f>"Hisorical Financial Statements - "&amp;'Data Sheet'!B1</f>
        <v>Hisorical Financial Statements - HINDUSTAN UNILEVER LTD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3">
      <c r="B3" s="52" t="s">
        <v>56</v>
      </c>
      <c r="C3" s="53">
        <f>'Data Sheet'!B16</f>
        <v>42094</v>
      </c>
      <c r="D3" s="53">
        <f>'Data Sheet'!C16</f>
        <v>42460</v>
      </c>
      <c r="E3" s="53">
        <f>'Data Sheet'!D16</f>
        <v>42825</v>
      </c>
      <c r="F3" s="53">
        <f>'Data Sheet'!E16</f>
        <v>43190</v>
      </c>
      <c r="G3" s="53">
        <f>'Data Sheet'!F16</f>
        <v>43555</v>
      </c>
      <c r="H3" s="53">
        <f>'Data Sheet'!G16</f>
        <v>43921</v>
      </c>
      <c r="I3" s="53">
        <f>'Data Sheet'!H16</f>
        <v>44286</v>
      </c>
      <c r="J3" s="53">
        <f>'Data Sheet'!I16</f>
        <v>44651</v>
      </c>
      <c r="K3" s="53">
        <f>'Data Sheet'!J16</f>
        <v>45016</v>
      </c>
      <c r="L3" s="53">
        <f>'Data Sheet'!K16</f>
        <v>45382</v>
      </c>
      <c r="M3" s="54" t="s">
        <v>59</v>
      </c>
    </row>
    <row r="5" spans="1:13" x14ac:dyDescent="0.3">
      <c r="A5" s="12" t="s">
        <v>58</v>
      </c>
      <c r="B5" s="15" t="s">
        <v>57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x14ac:dyDescent="0.3">
      <c r="B6" s="18" t="s">
        <v>34</v>
      </c>
      <c r="C6" s="24">
        <f>IFERROR('Data Sheet'!B17,0)</f>
        <v>31972.19</v>
      </c>
      <c r="D6" s="24">
        <f>IFERROR('Data Sheet'!C17,0)</f>
        <v>32186</v>
      </c>
      <c r="E6" s="24">
        <f>IFERROR('Data Sheet'!D17,0)</f>
        <v>33162</v>
      </c>
      <c r="F6" s="24">
        <f>IFERROR('Data Sheet'!E17,0)</f>
        <v>35545</v>
      </c>
      <c r="G6" s="24">
        <f>IFERROR('Data Sheet'!F17,0)</f>
        <v>39310</v>
      </c>
      <c r="H6" s="24">
        <f>IFERROR('Data Sheet'!G17,0)</f>
        <v>39783</v>
      </c>
      <c r="I6" s="24">
        <f>IFERROR('Data Sheet'!H17,0)</f>
        <v>47028</v>
      </c>
      <c r="J6" s="24">
        <f>IFERROR('Data Sheet'!I17,0)</f>
        <v>52446</v>
      </c>
      <c r="K6" s="24">
        <f>IFERROR('Data Sheet'!J17,0)</f>
        <v>60580</v>
      </c>
      <c r="L6" s="24">
        <f>IFERROR('Data Sheet'!K17,0)</f>
        <v>61896</v>
      </c>
      <c r="M6" s="13">
        <f>IFERROR(SUM('Data Sheet'!H42:K42),0)</f>
        <v>62661</v>
      </c>
    </row>
    <row r="7" spans="1:13" x14ac:dyDescent="0.3">
      <c r="B7" s="19" t="s">
        <v>60</v>
      </c>
      <c r="C7" s="14" t="s">
        <v>61</v>
      </c>
      <c r="D7" s="14">
        <f>D6/C6-1</f>
        <v>6.6873742461808217E-3</v>
      </c>
      <c r="E7" s="14">
        <f t="shared" ref="E7:M7" si="0">E6/D6-1</f>
        <v>3.03237432424035E-2</v>
      </c>
      <c r="F7" s="14">
        <f t="shared" si="0"/>
        <v>7.1859357095470644E-2</v>
      </c>
      <c r="G7" s="14">
        <f t="shared" si="0"/>
        <v>0.1059220706147137</v>
      </c>
      <c r="H7" s="14">
        <f t="shared" si="0"/>
        <v>1.2032561689137689E-2</v>
      </c>
      <c r="I7" s="14">
        <f t="shared" si="0"/>
        <v>0.18211296282331646</v>
      </c>
      <c r="J7" s="14">
        <f t="shared" si="0"/>
        <v>0.11520796121459553</v>
      </c>
      <c r="K7" s="14">
        <f t="shared" si="0"/>
        <v>0.15509285741524614</v>
      </c>
      <c r="L7" s="14">
        <f t="shared" si="0"/>
        <v>2.1723341036645749E-2</v>
      </c>
      <c r="M7" s="14">
        <f t="shared" si="0"/>
        <v>1.2359441644048008E-2</v>
      </c>
    </row>
    <row r="8" spans="1:13" x14ac:dyDescent="0.3">
      <c r="B8" s="18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3" x14ac:dyDescent="0.3">
      <c r="B9" s="18" t="s">
        <v>71</v>
      </c>
      <c r="C9" s="24">
        <f>IFERROR(SUM('Data Sheet'!B18,'Data Sheet'!B20:B22),0)</f>
        <v>18744.879999999997</v>
      </c>
      <c r="D9" s="24">
        <f>IFERROR(SUM('Data Sheet'!C18,'Data Sheet'!C20:C22),0)</f>
        <v>18139</v>
      </c>
      <c r="E9" s="24">
        <f>IFERROR(SUM('Data Sheet'!D18,'Data Sheet'!D20:D22),0)</f>
        <v>18531</v>
      </c>
      <c r="F9" s="24">
        <f>IFERROR(SUM('Data Sheet'!E18,'Data Sheet'!E20:E22),0)</f>
        <v>19386</v>
      </c>
      <c r="G9" s="24">
        <f>IFERROR(SUM('Data Sheet'!F18,'Data Sheet'!F20:F22),0)</f>
        <v>21069</v>
      </c>
      <c r="H9" s="24">
        <f>IFERROR(SUM('Data Sheet'!G18,'Data Sheet'!G20:G22),0)</f>
        <v>20722</v>
      </c>
      <c r="I9" s="24">
        <f>IFERROR(SUM('Data Sheet'!H18,'Data Sheet'!H20:H22),0)</f>
        <v>25706</v>
      </c>
      <c r="J9" s="24">
        <f>IFERROR(SUM('Data Sheet'!I18,'Data Sheet'!I20:I22),0)</f>
        <v>29088</v>
      </c>
      <c r="K9" s="24">
        <f>IFERROR(SUM('Data Sheet'!J18,'Data Sheet'!J20:J22),0)</f>
        <v>35456</v>
      </c>
      <c r="L9" s="24">
        <f>IFERROR(SUM('Data Sheet'!K18,'Data Sheet'!K20:K22),0)</f>
        <v>33662</v>
      </c>
      <c r="M9" s="13">
        <f>IFERROR(SUM('Data Sheet'!H43:K43),0)</f>
        <v>47902</v>
      </c>
    </row>
    <row r="10" spans="1:13" x14ac:dyDescent="0.3">
      <c r="B10" s="20" t="s">
        <v>72</v>
      </c>
      <c r="C10" s="14">
        <f>C9/C6</f>
        <v>0.58628702006337374</v>
      </c>
      <c r="D10" s="14">
        <f t="shared" ref="D10:M10" si="1">D9/D6</f>
        <v>0.56356801093643194</v>
      </c>
      <c r="E10" s="14">
        <f t="shared" si="1"/>
        <v>0.55880224353175323</v>
      </c>
      <c r="F10" s="14">
        <f t="shared" si="1"/>
        <v>0.54539316359544243</v>
      </c>
      <c r="G10" s="14">
        <f t="shared" si="1"/>
        <v>0.535970490969219</v>
      </c>
      <c r="H10" s="14">
        <f t="shared" si="1"/>
        <v>0.52087575094889782</v>
      </c>
      <c r="I10" s="14">
        <f t="shared" si="1"/>
        <v>0.54661052989708259</v>
      </c>
      <c r="J10" s="14">
        <f t="shared" si="1"/>
        <v>0.55462761697746255</v>
      </c>
      <c r="K10" s="14">
        <f t="shared" si="1"/>
        <v>0.58527566853747115</v>
      </c>
      <c r="L10" s="14">
        <f t="shared" si="1"/>
        <v>0.54384774460385166</v>
      </c>
      <c r="M10" s="16">
        <f t="shared" si="1"/>
        <v>0.76446274397152936</v>
      </c>
    </row>
    <row r="11" spans="1:13" x14ac:dyDescent="0.3">
      <c r="B11" s="18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3" x14ac:dyDescent="0.3">
      <c r="B12" s="29" t="s">
        <v>75</v>
      </c>
      <c r="C12" s="30">
        <f>IFERROR(C6-C9,0)</f>
        <v>13227.310000000001</v>
      </c>
      <c r="D12" s="30">
        <f t="shared" ref="D12:M12" si="2">IFERROR(D6-D9,0)</f>
        <v>14047</v>
      </c>
      <c r="E12" s="30">
        <f t="shared" si="2"/>
        <v>14631</v>
      </c>
      <c r="F12" s="30">
        <f t="shared" si="2"/>
        <v>16159</v>
      </c>
      <c r="G12" s="30">
        <f t="shared" si="2"/>
        <v>18241</v>
      </c>
      <c r="H12" s="30">
        <f t="shared" si="2"/>
        <v>19061</v>
      </c>
      <c r="I12" s="30">
        <f t="shared" si="2"/>
        <v>21322</v>
      </c>
      <c r="J12" s="30">
        <f t="shared" si="2"/>
        <v>23358</v>
      </c>
      <c r="K12" s="30">
        <f t="shared" si="2"/>
        <v>25124</v>
      </c>
      <c r="L12" s="30">
        <f t="shared" si="2"/>
        <v>28234</v>
      </c>
      <c r="M12" s="31">
        <f t="shared" si="2"/>
        <v>14759</v>
      </c>
    </row>
    <row r="13" spans="1:13" x14ac:dyDescent="0.3">
      <c r="B13" s="20" t="s">
        <v>62</v>
      </c>
      <c r="C13" s="14">
        <f>C12/C6</f>
        <v>0.41371297993662626</v>
      </c>
      <c r="D13" s="14">
        <f t="shared" ref="D13:M13" si="3">D12/D6</f>
        <v>0.436431989063568</v>
      </c>
      <c r="E13" s="14">
        <f t="shared" si="3"/>
        <v>0.44119775646824677</v>
      </c>
      <c r="F13" s="14">
        <f t="shared" si="3"/>
        <v>0.45460683640455762</v>
      </c>
      <c r="G13" s="14">
        <f t="shared" si="3"/>
        <v>0.464029509030781</v>
      </c>
      <c r="H13" s="14">
        <f t="shared" si="3"/>
        <v>0.47912424905110224</v>
      </c>
      <c r="I13" s="14">
        <f t="shared" si="3"/>
        <v>0.45338947010291741</v>
      </c>
      <c r="J13" s="14">
        <f t="shared" si="3"/>
        <v>0.44537238302253745</v>
      </c>
      <c r="K13" s="14">
        <f t="shared" si="3"/>
        <v>0.41472433146252891</v>
      </c>
      <c r="L13" s="14">
        <f t="shared" si="3"/>
        <v>0.4561522553961484</v>
      </c>
      <c r="M13" s="16">
        <f t="shared" si="3"/>
        <v>0.23553725602847067</v>
      </c>
    </row>
    <row r="14" spans="1:13" x14ac:dyDescent="0.3">
      <c r="B14" s="18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3" x14ac:dyDescent="0.3">
      <c r="B15" s="18" t="s">
        <v>76</v>
      </c>
      <c r="C15" s="24">
        <f>IFERROR(SUM('Data Sheet'!B23:B24,-1*'Data Sheet'!B19),0)</f>
        <v>7814.89</v>
      </c>
      <c r="D15" s="24">
        <f>IFERROR(SUM('Data Sheet'!C23:C24,-1*'Data Sheet'!C19),0)</f>
        <v>8137</v>
      </c>
      <c r="E15" s="24">
        <f>IFERROR(SUM('Data Sheet'!D23:D24,-1*'Data Sheet'!D19),0)</f>
        <v>8303</v>
      </c>
      <c r="F15" s="24">
        <f>IFERROR(SUM('Data Sheet'!E23:E24,-1*'Data Sheet'!E19),0)</f>
        <v>8660</v>
      </c>
      <c r="G15" s="24">
        <f>IFERROR(SUM('Data Sheet'!F23:F24,-1*'Data Sheet'!F19),0)</f>
        <v>9361</v>
      </c>
      <c r="H15" s="24">
        <f>IFERROR(SUM('Data Sheet'!G23:G24,-1*'Data Sheet'!G19),0)</f>
        <v>9200</v>
      </c>
      <c r="I15" s="24">
        <f>IFERROR(SUM('Data Sheet'!H23:H24,-1*'Data Sheet'!H19),0)</f>
        <v>9696</v>
      </c>
      <c r="J15" s="24">
        <f>IFERROR(SUM('Data Sheet'!I23:I24,-1*'Data Sheet'!I19),0)</f>
        <v>10501</v>
      </c>
      <c r="K15" s="24">
        <f>IFERROR(SUM('Data Sheet'!J23:J24,-1*'Data Sheet'!J19),0)</f>
        <v>10977</v>
      </c>
      <c r="L15" s="24">
        <f>IFERROR(SUM('Data Sheet'!K23:K24,-1*'Data Sheet'!K19),0)</f>
        <v>13575</v>
      </c>
      <c r="M15" s="13">
        <f>IFERROR(SUM('Data Sheet'!L23:L24,-1*'Data Sheet'!L19),0)</f>
        <v>0</v>
      </c>
    </row>
    <row r="16" spans="1:13" x14ac:dyDescent="0.3">
      <c r="B16" s="20" t="s">
        <v>63</v>
      </c>
      <c r="C16" s="14">
        <f>C15/C6</f>
        <v>0.24442773547886462</v>
      </c>
      <c r="D16" s="14">
        <f t="shared" ref="D16:M16" si="4">D15/D6</f>
        <v>0.25281178151991551</v>
      </c>
      <c r="E16" s="14">
        <f t="shared" si="4"/>
        <v>0.2503769374585369</v>
      </c>
      <c r="F16" s="14">
        <f t="shared" si="4"/>
        <v>0.24363482908988607</v>
      </c>
      <c r="G16" s="14">
        <f t="shared" si="4"/>
        <v>0.23813279063851436</v>
      </c>
      <c r="H16" s="14">
        <f t="shared" si="4"/>
        <v>0.23125455596611619</v>
      </c>
      <c r="I16" s="14">
        <f t="shared" si="4"/>
        <v>0.20617504465424855</v>
      </c>
      <c r="J16" s="14">
        <f t="shared" si="4"/>
        <v>0.20022499332646912</v>
      </c>
      <c r="K16" s="14">
        <f t="shared" si="4"/>
        <v>0.18119841531858699</v>
      </c>
      <c r="L16" s="14">
        <f t="shared" si="4"/>
        <v>0.21931950368359829</v>
      </c>
      <c r="M16" s="16">
        <f t="shared" si="4"/>
        <v>0</v>
      </c>
    </row>
    <row r="17" spans="2:13" x14ac:dyDescent="0.3">
      <c r="B17" s="18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2:13" x14ac:dyDescent="0.3">
      <c r="B18" s="29" t="s">
        <v>25</v>
      </c>
      <c r="C18" s="30">
        <f>IFERROR(C12-C15,0)</f>
        <v>5412.420000000001</v>
      </c>
      <c r="D18" s="30">
        <f t="shared" ref="D18:L18" si="5">IFERROR(D12-D15,0)</f>
        <v>5910</v>
      </c>
      <c r="E18" s="30">
        <f t="shared" si="5"/>
        <v>6328</v>
      </c>
      <c r="F18" s="30">
        <f t="shared" si="5"/>
        <v>7499</v>
      </c>
      <c r="G18" s="30">
        <f t="shared" si="5"/>
        <v>8880</v>
      </c>
      <c r="H18" s="30">
        <f t="shared" si="5"/>
        <v>9861</v>
      </c>
      <c r="I18" s="30">
        <f t="shared" si="5"/>
        <v>11626</v>
      </c>
      <c r="J18" s="30">
        <f t="shared" si="5"/>
        <v>12857</v>
      </c>
      <c r="K18" s="30">
        <f t="shared" si="5"/>
        <v>14147</v>
      </c>
      <c r="L18" s="30">
        <f t="shared" si="5"/>
        <v>14659</v>
      </c>
      <c r="M18" s="31">
        <f>IFERROR(SUM('Data Sheet'!H51:K51),0)</f>
        <v>16206</v>
      </c>
    </row>
    <row r="19" spans="2:13" x14ac:dyDescent="0.3">
      <c r="B19" s="20" t="s">
        <v>64</v>
      </c>
      <c r="C19" s="14">
        <f>C18/C6</f>
        <v>0.16928524445776161</v>
      </c>
      <c r="D19" s="14">
        <f t="shared" ref="D19:M19" si="6">D18/D6</f>
        <v>0.18362020754365252</v>
      </c>
      <c r="E19" s="14">
        <f t="shared" si="6"/>
        <v>0.1908208190097099</v>
      </c>
      <c r="F19" s="14">
        <f t="shared" si="6"/>
        <v>0.21097200731467156</v>
      </c>
      <c r="G19" s="14">
        <f t="shared" si="6"/>
        <v>0.2258967183922666</v>
      </c>
      <c r="H19" s="14">
        <f t="shared" si="6"/>
        <v>0.24786969308498605</v>
      </c>
      <c r="I19" s="14">
        <f t="shared" si="6"/>
        <v>0.24721442544866887</v>
      </c>
      <c r="J19" s="14">
        <f t="shared" si="6"/>
        <v>0.24514738969606834</v>
      </c>
      <c r="K19" s="14">
        <f t="shared" si="6"/>
        <v>0.23352591614394189</v>
      </c>
      <c r="L19" s="14">
        <f t="shared" si="6"/>
        <v>0.23683275171255008</v>
      </c>
      <c r="M19" s="16">
        <f t="shared" si="6"/>
        <v>0.25862976971321877</v>
      </c>
    </row>
    <row r="20" spans="2:13" x14ac:dyDescent="0.3">
      <c r="B20" s="18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2:13" x14ac:dyDescent="0.3">
      <c r="B21" s="18" t="s">
        <v>30</v>
      </c>
      <c r="C21" s="24">
        <f>IFERROR('Data Sheet'!B27,0)</f>
        <v>17.7</v>
      </c>
      <c r="D21" s="24">
        <f>IFERROR('Data Sheet'!C27,0)</f>
        <v>17</v>
      </c>
      <c r="E21" s="24">
        <f>IFERROR('Data Sheet'!D27,0)</f>
        <v>35</v>
      </c>
      <c r="F21" s="24">
        <f>IFERROR('Data Sheet'!E27,0)</f>
        <v>26</v>
      </c>
      <c r="G21" s="24">
        <f>IFERROR('Data Sheet'!F27,0)</f>
        <v>33</v>
      </c>
      <c r="H21" s="24">
        <f>IFERROR('Data Sheet'!G27,0)</f>
        <v>118</v>
      </c>
      <c r="I21" s="24">
        <f>IFERROR('Data Sheet'!H27,0)</f>
        <v>117</v>
      </c>
      <c r="J21" s="24">
        <f>IFERROR('Data Sheet'!I27,0)</f>
        <v>106</v>
      </c>
      <c r="K21" s="24">
        <f>IFERROR('Data Sheet'!J27,0)</f>
        <v>114</v>
      </c>
      <c r="L21" s="24">
        <f>IFERROR('Data Sheet'!K27,0)</f>
        <v>334</v>
      </c>
      <c r="M21" s="13">
        <f>IFERROR(SUM('Data Sheet'!H46:K46),0)</f>
        <v>420</v>
      </c>
    </row>
    <row r="22" spans="2:13" x14ac:dyDescent="0.3">
      <c r="B22" s="20" t="s">
        <v>66</v>
      </c>
      <c r="C22" s="14">
        <f>C21/C6</f>
        <v>5.536061183172E-4</v>
      </c>
      <c r="D22" s="14">
        <f t="shared" ref="D22:M22" si="7">D21/D6</f>
        <v>5.2817995401727462E-4</v>
      </c>
      <c r="E22" s="14">
        <f t="shared" si="7"/>
        <v>1.0554248839032628E-3</v>
      </c>
      <c r="F22" s="14">
        <f t="shared" si="7"/>
        <v>7.3146715431143621E-4</v>
      </c>
      <c r="G22" s="14">
        <f t="shared" si="7"/>
        <v>8.3948104807936915E-4</v>
      </c>
      <c r="H22" s="14">
        <f t="shared" si="7"/>
        <v>2.9660910439132291E-3</v>
      </c>
      <c r="I22" s="14">
        <f t="shared" si="7"/>
        <v>2.4878795611125285E-3</v>
      </c>
      <c r="J22" s="14">
        <f t="shared" si="7"/>
        <v>2.0211264920108303E-3</v>
      </c>
      <c r="K22" s="14">
        <f t="shared" si="7"/>
        <v>1.881809177946517E-3</v>
      </c>
      <c r="L22" s="14">
        <f t="shared" si="7"/>
        <v>5.3961483779242604E-3</v>
      </c>
      <c r="M22" s="16">
        <f t="shared" si="7"/>
        <v>6.7027337578398046E-3</v>
      </c>
    </row>
    <row r="23" spans="2:13" x14ac:dyDescent="0.3">
      <c r="B23" s="18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2:13" x14ac:dyDescent="0.3">
      <c r="B24" s="18" t="s">
        <v>31</v>
      </c>
      <c r="C24" s="24">
        <f>IFERROR('Data Sheet'!B26,0)</f>
        <v>322.39</v>
      </c>
      <c r="D24" s="24">
        <f>IFERROR('Data Sheet'!C26,0)</f>
        <v>353</v>
      </c>
      <c r="E24" s="24">
        <f>IFERROR('Data Sheet'!D26,0)</f>
        <v>432</v>
      </c>
      <c r="F24" s="24">
        <f>IFERROR('Data Sheet'!E26,0)</f>
        <v>520</v>
      </c>
      <c r="G24" s="24">
        <f>IFERROR('Data Sheet'!F26,0)</f>
        <v>565</v>
      </c>
      <c r="H24" s="24">
        <f>IFERROR('Data Sheet'!G26,0)</f>
        <v>1002</v>
      </c>
      <c r="I24" s="24">
        <f>IFERROR('Data Sheet'!H26,0)</f>
        <v>1074</v>
      </c>
      <c r="J24" s="24">
        <f>IFERROR('Data Sheet'!I26,0)</f>
        <v>1091</v>
      </c>
      <c r="K24" s="24">
        <f>IFERROR('Data Sheet'!J26,0)</f>
        <v>1137</v>
      </c>
      <c r="L24" s="24">
        <f>IFERROR('Data Sheet'!K26,0)</f>
        <v>1216</v>
      </c>
      <c r="M24" s="13">
        <f>IFERROR(SUM('Data Sheet'!H45:K45),0)</f>
        <v>1328</v>
      </c>
    </row>
    <row r="25" spans="2:13" x14ac:dyDescent="0.3">
      <c r="B25" s="20" t="s">
        <v>65</v>
      </c>
      <c r="C25" s="14">
        <f>C24/C6</f>
        <v>1.0083450648829498E-2</v>
      </c>
      <c r="D25" s="14">
        <f t="shared" ref="D25:M25" si="8">D24/D6</f>
        <v>1.0967501398123409E-2</v>
      </c>
      <c r="E25" s="14">
        <f t="shared" si="8"/>
        <v>1.3026958567034558E-2</v>
      </c>
      <c r="F25" s="14">
        <f t="shared" si="8"/>
        <v>1.4629343086228723E-2</v>
      </c>
      <c r="G25" s="14">
        <f t="shared" si="8"/>
        <v>1.437293309590435E-2</v>
      </c>
      <c r="H25" s="14">
        <f t="shared" si="8"/>
        <v>2.5186637508483524E-2</v>
      </c>
      <c r="I25" s="14">
        <f t="shared" si="8"/>
        <v>2.2837458535340648E-2</v>
      </c>
      <c r="J25" s="14">
        <f t="shared" si="8"/>
        <v>2.0802349082866187E-2</v>
      </c>
      <c r="K25" s="14">
        <f t="shared" si="8"/>
        <v>1.8768570485308684E-2</v>
      </c>
      <c r="L25" s="14">
        <f t="shared" si="8"/>
        <v>1.9645857567532635E-2</v>
      </c>
      <c r="M25" s="16">
        <f t="shared" si="8"/>
        <v>2.1193405786693476E-2</v>
      </c>
    </row>
    <row r="26" spans="2:13" x14ac:dyDescent="0.3">
      <c r="B26" s="18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2:13" x14ac:dyDescent="0.3">
      <c r="B27" s="29" t="s">
        <v>126</v>
      </c>
      <c r="C27" s="30">
        <f>IFERROR(C18-C24,0)</f>
        <v>5090.0300000000007</v>
      </c>
      <c r="D27" s="30">
        <f t="shared" ref="D27:M27" si="9">IFERROR(D18-D24,0)</f>
        <v>5557</v>
      </c>
      <c r="E27" s="30">
        <f t="shared" si="9"/>
        <v>5896</v>
      </c>
      <c r="F27" s="30">
        <f t="shared" si="9"/>
        <v>6979</v>
      </c>
      <c r="G27" s="30">
        <f t="shared" si="9"/>
        <v>8315</v>
      </c>
      <c r="H27" s="30">
        <f t="shared" si="9"/>
        <v>8859</v>
      </c>
      <c r="I27" s="30">
        <f t="shared" si="9"/>
        <v>10552</v>
      </c>
      <c r="J27" s="30">
        <f t="shared" si="9"/>
        <v>11766</v>
      </c>
      <c r="K27" s="30">
        <f t="shared" si="9"/>
        <v>13010</v>
      </c>
      <c r="L27" s="30">
        <f t="shared" si="9"/>
        <v>13443</v>
      </c>
      <c r="M27" s="30">
        <f t="shared" si="9"/>
        <v>14878</v>
      </c>
    </row>
    <row r="28" spans="2:13" x14ac:dyDescent="0.3">
      <c r="B28" s="20" t="s">
        <v>127</v>
      </c>
      <c r="C28" s="14">
        <f>IFERROR(C27/C6,0)</f>
        <v>0.1592017938089321</v>
      </c>
      <c r="D28" s="14">
        <f t="shared" ref="D28:M28" si="10">IFERROR(D27/D6,0)</f>
        <v>0.17265270614552911</v>
      </c>
      <c r="E28" s="14">
        <f t="shared" si="10"/>
        <v>0.17779386044267534</v>
      </c>
      <c r="F28" s="14">
        <f t="shared" si="10"/>
        <v>0.19634266422844282</v>
      </c>
      <c r="G28" s="14">
        <f t="shared" si="10"/>
        <v>0.21152378529636226</v>
      </c>
      <c r="H28" s="14">
        <f t="shared" si="10"/>
        <v>0.22268305557650253</v>
      </c>
      <c r="I28" s="14">
        <f t="shared" si="10"/>
        <v>0.22437696691332823</v>
      </c>
      <c r="J28" s="14">
        <f t="shared" si="10"/>
        <v>0.22434504061320215</v>
      </c>
      <c r="K28" s="14">
        <f t="shared" si="10"/>
        <v>0.21475734565863322</v>
      </c>
      <c r="L28" s="14">
        <f t="shared" si="10"/>
        <v>0.21718689414501746</v>
      </c>
      <c r="M28" s="14">
        <f t="shared" si="10"/>
        <v>0.23743636392652528</v>
      </c>
    </row>
    <row r="30" spans="2:13" x14ac:dyDescent="0.3">
      <c r="B30" s="29" t="s">
        <v>77</v>
      </c>
      <c r="C30" s="30">
        <f t="shared" ref="C30:M30" si="11">IFERROR(C18-SUM(C21,C24),0)</f>
        <v>5072.3300000000008</v>
      </c>
      <c r="D30" s="30">
        <f t="shared" si="11"/>
        <v>5540</v>
      </c>
      <c r="E30" s="30">
        <f t="shared" si="11"/>
        <v>5861</v>
      </c>
      <c r="F30" s="30">
        <f t="shared" si="11"/>
        <v>6953</v>
      </c>
      <c r="G30" s="30">
        <f t="shared" si="11"/>
        <v>8282</v>
      </c>
      <c r="H30" s="30">
        <f t="shared" si="11"/>
        <v>8741</v>
      </c>
      <c r="I30" s="30">
        <f t="shared" si="11"/>
        <v>10435</v>
      </c>
      <c r="J30" s="30">
        <f t="shared" si="11"/>
        <v>11660</v>
      </c>
      <c r="K30" s="30">
        <f t="shared" si="11"/>
        <v>12896</v>
      </c>
      <c r="L30" s="30">
        <f t="shared" si="11"/>
        <v>13109</v>
      </c>
      <c r="M30" s="31">
        <f t="shared" si="11"/>
        <v>14458</v>
      </c>
    </row>
    <row r="31" spans="2:13" x14ac:dyDescent="0.3">
      <c r="B31" s="20" t="s">
        <v>67</v>
      </c>
      <c r="C31" s="14">
        <f t="shared" ref="C31:M31" si="12">C30/C6</f>
        <v>0.15864818769061489</v>
      </c>
      <c r="D31" s="14">
        <f t="shared" si="12"/>
        <v>0.17212452619151183</v>
      </c>
      <c r="E31" s="14">
        <f t="shared" si="12"/>
        <v>0.17673843555877208</v>
      </c>
      <c r="F31" s="14">
        <f t="shared" si="12"/>
        <v>0.19561119707413138</v>
      </c>
      <c r="G31" s="14">
        <f t="shared" si="12"/>
        <v>0.21068430424828288</v>
      </c>
      <c r="H31" s="14">
        <f t="shared" si="12"/>
        <v>0.21971696453258929</v>
      </c>
      <c r="I31" s="14">
        <f t="shared" si="12"/>
        <v>0.22188908735221571</v>
      </c>
      <c r="J31" s="14">
        <f t="shared" si="12"/>
        <v>0.22232391412119132</v>
      </c>
      <c r="K31" s="14">
        <f t="shared" si="12"/>
        <v>0.21287553648068669</v>
      </c>
      <c r="L31" s="14">
        <f t="shared" si="12"/>
        <v>0.2117907457670932</v>
      </c>
      <c r="M31" s="16">
        <f t="shared" si="12"/>
        <v>0.23073363016868548</v>
      </c>
    </row>
    <row r="32" spans="2:13" x14ac:dyDescent="0.3">
      <c r="B32" s="18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3" x14ac:dyDescent="0.3">
      <c r="B33" s="18" t="s">
        <v>28</v>
      </c>
      <c r="C33" s="24">
        <f>IFERROR('Data Sheet'!B29,0)</f>
        <v>1944</v>
      </c>
      <c r="D33" s="24">
        <f>IFERROR('Data Sheet'!C29,0)</f>
        <v>1875</v>
      </c>
      <c r="E33" s="24">
        <f>IFERROR('Data Sheet'!D29,0)</f>
        <v>1977</v>
      </c>
      <c r="F33" s="24">
        <f>IFERROR('Data Sheet'!E29,0)</f>
        <v>2079</v>
      </c>
      <c r="G33" s="24">
        <f>IFERROR('Data Sheet'!F29,0)</f>
        <v>2544</v>
      </c>
      <c r="H33" s="24">
        <f>IFERROR('Data Sheet'!G29,0)</f>
        <v>2409</v>
      </c>
      <c r="I33" s="24">
        <f>IFERROR('Data Sheet'!H29,0)</f>
        <v>2606</v>
      </c>
      <c r="J33" s="24">
        <f>IFERROR('Data Sheet'!I29,0)</f>
        <v>2987</v>
      </c>
      <c r="K33" s="24">
        <f>IFERROR('Data Sheet'!J29,0)</f>
        <v>3201</v>
      </c>
      <c r="L33" s="24">
        <f>IFERROR('Data Sheet'!K29,0)</f>
        <v>3644</v>
      </c>
      <c r="M33" s="13">
        <f>IFERROR(SUM('Data Sheet'!H48:K48),0)</f>
        <v>3715</v>
      </c>
    </row>
    <row r="34" spans="1:13" x14ac:dyDescent="0.3">
      <c r="B34" s="20" t="s">
        <v>36</v>
      </c>
      <c r="C34" s="14">
        <f>C33/C30</f>
        <v>0.38325582128922991</v>
      </c>
      <c r="D34" s="14">
        <f t="shared" ref="D34:M34" si="13">D33/D30</f>
        <v>0.33844765342960287</v>
      </c>
      <c r="E34" s="14">
        <f t="shared" si="13"/>
        <v>0.33731445145879541</v>
      </c>
      <c r="F34" s="14">
        <f t="shared" si="13"/>
        <v>0.29900762260894576</v>
      </c>
      <c r="G34" s="14">
        <f t="shared" si="13"/>
        <v>0.30717218063269741</v>
      </c>
      <c r="H34" s="14">
        <f t="shared" si="13"/>
        <v>0.27559775769362771</v>
      </c>
      <c r="I34" s="14">
        <f t="shared" si="13"/>
        <v>0.24973646382367035</v>
      </c>
      <c r="J34" s="14">
        <f t="shared" si="13"/>
        <v>0.25617495711835336</v>
      </c>
      <c r="K34" s="14">
        <f t="shared" si="13"/>
        <v>0.24821650124069478</v>
      </c>
      <c r="L34" s="14">
        <f t="shared" si="13"/>
        <v>0.27797696239224962</v>
      </c>
      <c r="M34" s="16">
        <f t="shared" si="13"/>
        <v>0.25695116890302949</v>
      </c>
    </row>
    <row r="35" spans="1:13" x14ac:dyDescent="0.3">
      <c r="B35" s="18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3" x14ac:dyDescent="0.3">
      <c r="B36" s="29" t="s">
        <v>68</v>
      </c>
      <c r="C36" s="30">
        <f>IFERROR(C30-C33,0)</f>
        <v>3128.3300000000008</v>
      </c>
      <c r="D36" s="30">
        <f t="shared" ref="D36:M36" si="14">IFERROR(D30-D33,0)</f>
        <v>3665</v>
      </c>
      <c r="E36" s="30">
        <f t="shared" si="14"/>
        <v>3884</v>
      </c>
      <c r="F36" s="30">
        <f t="shared" si="14"/>
        <v>4874</v>
      </c>
      <c r="G36" s="30">
        <f t="shared" si="14"/>
        <v>5738</v>
      </c>
      <c r="H36" s="30">
        <f t="shared" si="14"/>
        <v>6332</v>
      </c>
      <c r="I36" s="30">
        <f t="shared" si="14"/>
        <v>7829</v>
      </c>
      <c r="J36" s="30">
        <f t="shared" si="14"/>
        <v>8673</v>
      </c>
      <c r="K36" s="30">
        <f t="shared" si="14"/>
        <v>9695</v>
      </c>
      <c r="L36" s="30">
        <f t="shared" si="14"/>
        <v>9465</v>
      </c>
      <c r="M36" s="31">
        <f t="shared" si="14"/>
        <v>10743</v>
      </c>
    </row>
    <row r="37" spans="1:13" x14ac:dyDescent="0.3">
      <c r="B37" s="20" t="s">
        <v>159</v>
      </c>
      <c r="C37" s="14">
        <f>IFERROR(C36/C6,0)</f>
        <v>9.7845346221200391E-2</v>
      </c>
      <c r="D37" s="14">
        <f t="shared" ref="D37:M37" si="15">IFERROR(D36/D6,0)</f>
        <v>0.11386938420431243</v>
      </c>
      <c r="E37" s="14">
        <f t="shared" si="15"/>
        <v>0.11712200711657922</v>
      </c>
      <c r="F37" s="14">
        <f t="shared" si="15"/>
        <v>0.1371219580813054</v>
      </c>
      <c r="G37" s="14">
        <f t="shared" si="15"/>
        <v>0.14596794708725516</v>
      </c>
      <c r="H37" s="14">
        <f t="shared" si="15"/>
        <v>0.15916346178015736</v>
      </c>
      <c r="I37" s="14">
        <f t="shared" si="15"/>
        <v>0.16647529131581185</v>
      </c>
      <c r="J37" s="14">
        <f t="shared" si="15"/>
        <v>0.16537009495481067</v>
      </c>
      <c r="K37" s="14">
        <f t="shared" si="15"/>
        <v>0.16003631561571477</v>
      </c>
      <c r="L37" s="14">
        <f t="shared" si="15"/>
        <v>0.15291779759596744</v>
      </c>
      <c r="M37" s="14">
        <f t="shared" si="15"/>
        <v>0.17144635419160242</v>
      </c>
    </row>
    <row r="39" spans="1:13" x14ac:dyDescent="0.3">
      <c r="B39" s="18" t="s">
        <v>78</v>
      </c>
      <c r="C39" s="11">
        <f>IFERROR('Data Sheet'!B93,0)</f>
        <v>216.35</v>
      </c>
      <c r="D39" s="11">
        <f>IFERROR('Data Sheet'!C93,0)</f>
        <v>216.39</v>
      </c>
      <c r="E39" s="11">
        <f>IFERROR('Data Sheet'!D93,0)</f>
        <v>216.43</v>
      </c>
      <c r="F39" s="11">
        <f>IFERROR('Data Sheet'!E93,0)</f>
        <v>216.45</v>
      </c>
      <c r="G39" s="11">
        <f>IFERROR('Data Sheet'!F93,0)</f>
        <v>216.47</v>
      </c>
      <c r="H39" s="11">
        <f>IFERROR('Data Sheet'!G93,0)</f>
        <v>216.48</v>
      </c>
      <c r="I39" s="11">
        <f>IFERROR('Data Sheet'!H93,0)</f>
        <v>234.96</v>
      </c>
      <c r="J39" s="11">
        <f>IFERROR('Data Sheet'!I93,0)</f>
        <v>234.96</v>
      </c>
      <c r="K39" s="11">
        <f>IFERROR('Data Sheet'!J93,0)</f>
        <v>234.96</v>
      </c>
      <c r="L39" s="11">
        <f>IFERROR('Data Sheet'!K93,0)</f>
        <v>234.96</v>
      </c>
      <c r="M39">
        <f>L39</f>
        <v>234.96</v>
      </c>
    </row>
    <row r="40" spans="1:13" x14ac:dyDescent="0.3">
      <c r="B40" s="18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3" x14ac:dyDescent="0.3">
      <c r="B41" s="18" t="s">
        <v>69</v>
      </c>
      <c r="C41" s="24">
        <f t="shared" ref="C41:M41" si="16">IFERROR(C36/C39,0)</f>
        <v>14.459579385255378</v>
      </c>
      <c r="D41" s="24">
        <f t="shared" si="16"/>
        <v>16.937011876704101</v>
      </c>
      <c r="E41" s="24">
        <f t="shared" si="16"/>
        <v>17.945756133622879</v>
      </c>
      <c r="F41" s="24">
        <f t="shared" si="16"/>
        <v>22.51790251790252</v>
      </c>
      <c r="G41" s="24">
        <f t="shared" si="16"/>
        <v>26.507137247655564</v>
      </c>
      <c r="H41" s="24">
        <f t="shared" si="16"/>
        <v>29.249815225424982</v>
      </c>
      <c r="I41" s="24">
        <f t="shared" si="16"/>
        <v>33.320565202587673</v>
      </c>
      <c r="J41" s="24">
        <f t="shared" si="16"/>
        <v>36.912665985699689</v>
      </c>
      <c r="K41" s="24">
        <f t="shared" si="16"/>
        <v>41.262342526387471</v>
      </c>
      <c r="L41" s="24">
        <f t="shared" si="16"/>
        <v>40.283452502553622</v>
      </c>
      <c r="M41" s="13">
        <f t="shared" si="16"/>
        <v>45.72267620020429</v>
      </c>
    </row>
    <row r="42" spans="1:13" x14ac:dyDescent="0.3">
      <c r="B42" s="20" t="s">
        <v>73</v>
      </c>
      <c r="C42" s="14" t="s">
        <v>61</v>
      </c>
      <c r="D42" s="14">
        <f>D41/C41-1</f>
        <v>0.17133503163826425</v>
      </c>
      <c r="E42" s="14">
        <f t="shared" ref="E42:M42" si="17">E41/D41-1</f>
        <v>5.9558572920778818E-2</v>
      </c>
      <c r="F42" s="14">
        <f t="shared" si="17"/>
        <v>0.25477591193348159</v>
      </c>
      <c r="G42" s="14">
        <f t="shared" si="17"/>
        <v>0.17715836217789205</v>
      </c>
      <c r="H42" s="14">
        <f t="shared" si="17"/>
        <v>0.10346941475213423</v>
      </c>
      <c r="I42" s="14">
        <f t="shared" si="17"/>
        <v>0.1391718185496178</v>
      </c>
      <c r="J42" s="14">
        <f t="shared" si="17"/>
        <v>0.10780431728190054</v>
      </c>
      <c r="K42" s="14">
        <f t="shared" si="17"/>
        <v>0.11783696529459253</v>
      </c>
      <c r="L42" s="14">
        <f t="shared" si="17"/>
        <v>-2.3723568849922771E-2</v>
      </c>
      <c r="M42" s="16">
        <f t="shared" si="17"/>
        <v>0.13502377179080827</v>
      </c>
    </row>
    <row r="43" spans="1:13" x14ac:dyDescent="0.3">
      <c r="B43" s="18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3" x14ac:dyDescent="0.3">
      <c r="B44" s="18" t="s">
        <v>74</v>
      </c>
      <c r="C44" s="24">
        <f>IFERROR('Data Sheet'!B31/'Historical FS'!C39,0)</f>
        <v>15</v>
      </c>
      <c r="D44" s="24">
        <f>IFERROR('Data Sheet'!C31/'Historical FS'!D39,0)</f>
        <v>15.971163177596008</v>
      </c>
      <c r="E44" s="24">
        <f>IFERROR('Data Sheet'!D31/'Historical FS'!E39,0)</f>
        <v>16.966224645381878</v>
      </c>
      <c r="F44" s="24">
        <f>IFERROR('Data Sheet'!E31/'Historical FS'!F39,0)</f>
        <v>19.95841995841996</v>
      </c>
      <c r="G44" s="24">
        <f>IFERROR('Data Sheet'!F31/'Historical FS'!G39,0)</f>
        <v>21.95223356585208</v>
      </c>
      <c r="H44" s="24">
        <f>IFERROR('Data Sheet'!G31/'Historical FS'!H39,0)</f>
        <v>24.944567627494457</v>
      </c>
      <c r="I44" s="24">
        <f>IFERROR('Data Sheet'!H31/'Historical FS'!I39,0)</f>
        <v>40.506894790602651</v>
      </c>
      <c r="J44" s="24">
        <f>IFERROR('Data Sheet'!I31/'Historical FS'!J39,0)</f>
        <v>34.005788219271366</v>
      </c>
      <c r="K44" s="24">
        <f>IFERROR('Data Sheet'!J31/'Historical FS'!K39,0)</f>
        <v>39.006639427987743</v>
      </c>
      <c r="L44" s="24">
        <f>IFERROR('Data Sheet'!K31/'Historical FS'!L39,0)</f>
        <v>42.007150153217566</v>
      </c>
      <c r="M44" s="13">
        <f>IFERROR('Data Sheet'!L31/'Historical FS'!M39,0)</f>
        <v>0</v>
      </c>
    </row>
    <row r="45" spans="1:13" x14ac:dyDescent="0.3">
      <c r="A45" s="12" t="s">
        <v>58</v>
      </c>
      <c r="B45" s="20" t="s">
        <v>70</v>
      </c>
      <c r="C45" s="14">
        <f>C44/C41</f>
        <v>1.0373745736543136</v>
      </c>
      <c r="D45" s="14">
        <f t="shared" ref="D45:M45" si="18">D44/D41</f>
        <v>0.94297407912687581</v>
      </c>
      <c r="E45" s="14">
        <f t="shared" si="18"/>
        <v>0.94541709577754895</v>
      </c>
      <c r="F45" s="14">
        <f t="shared" si="18"/>
        <v>0.88633565859663521</v>
      </c>
      <c r="G45" s="14">
        <f t="shared" si="18"/>
        <v>0.82816312303938655</v>
      </c>
      <c r="H45" s="14">
        <f t="shared" si="18"/>
        <v>0.85281111813013266</v>
      </c>
      <c r="I45" s="14">
        <f t="shared" si="18"/>
        <v>1.2156724996806743</v>
      </c>
      <c r="J45" s="14">
        <f t="shared" si="18"/>
        <v>0.92124985587455333</v>
      </c>
      <c r="K45" s="14">
        <f t="shared" si="18"/>
        <v>0.94533264569365649</v>
      </c>
      <c r="L45" s="14">
        <f t="shared" si="18"/>
        <v>1.0427892234548337</v>
      </c>
      <c r="M45" s="16">
        <f t="shared" si="18"/>
        <v>0</v>
      </c>
    </row>
    <row r="46" spans="1:13" x14ac:dyDescent="0.3">
      <c r="B46" s="18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3" x14ac:dyDescent="0.3">
      <c r="B47" s="21" t="s">
        <v>79</v>
      </c>
      <c r="C47" s="25">
        <f>IFERROR(IF(C41&gt;C44,1-C45,0),0)</f>
        <v>0</v>
      </c>
      <c r="D47" s="25">
        <f t="shared" ref="D47:M47" si="19">IFERROR(IF(D41&gt;D44,1-D45,0),0)</f>
        <v>5.7025920873124192E-2</v>
      </c>
      <c r="E47" s="25">
        <f t="shared" si="19"/>
        <v>5.4582904222451045E-2</v>
      </c>
      <c r="F47" s="25">
        <f t="shared" si="19"/>
        <v>0.11366434140336479</v>
      </c>
      <c r="G47" s="25">
        <f t="shared" si="19"/>
        <v>0.17183687696061345</v>
      </c>
      <c r="H47" s="25">
        <f t="shared" si="19"/>
        <v>0.14718888186986734</v>
      </c>
      <c r="I47" s="25">
        <f t="shared" si="19"/>
        <v>0</v>
      </c>
      <c r="J47" s="25">
        <f t="shared" si="19"/>
        <v>7.8750144125446675E-2</v>
      </c>
      <c r="K47" s="25">
        <f t="shared" si="19"/>
        <v>5.4667354306343507E-2</v>
      </c>
      <c r="L47" s="25">
        <f t="shared" si="19"/>
        <v>0</v>
      </c>
      <c r="M47" s="17">
        <f t="shared" si="19"/>
        <v>1</v>
      </c>
    </row>
    <row r="48" spans="1:13" x14ac:dyDescent="0.3">
      <c r="B48" s="18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2:13" x14ac:dyDescent="0.3">
      <c r="B49" s="22" t="s">
        <v>80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15"/>
    </row>
    <row r="51" spans="2:13" x14ac:dyDescent="0.3">
      <c r="B51" s="23" t="s">
        <v>23</v>
      </c>
      <c r="C51" s="24">
        <f>IFERROR('Data Sheet'!B57,0)</f>
        <v>216.35</v>
      </c>
      <c r="D51" s="24">
        <f>IFERROR('Data Sheet'!C57,0)</f>
        <v>216</v>
      </c>
      <c r="E51" s="24">
        <f>IFERROR('Data Sheet'!D57,0)</f>
        <v>216</v>
      </c>
      <c r="F51" s="24">
        <f>IFERROR('Data Sheet'!E57,0)</f>
        <v>216</v>
      </c>
      <c r="G51" s="24">
        <f>IFERROR('Data Sheet'!F57,0)</f>
        <v>216</v>
      </c>
      <c r="H51" s="24">
        <f>IFERROR('Data Sheet'!G57,0)</f>
        <v>216</v>
      </c>
      <c r="I51" s="24">
        <f>IFERROR('Data Sheet'!H57,0)</f>
        <v>235</v>
      </c>
      <c r="J51" s="24">
        <f>IFERROR('Data Sheet'!I57,0)</f>
        <v>235</v>
      </c>
      <c r="K51" s="24">
        <f>IFERROR('Data Sheet'!J57,0)</f>
        <v>235</v>
      </c>
      <c r="L51" s="24">
        <f>IFERROR('Data Sheet'!K57,0)</f>
        <v>235</v>
      </c>
    </row>
    <row r="52" spans="2:13" x14ac:dyDescent="0.3">
      <c r="B52" s="23" t="s">
        <v>22</v>
      </c>
      <c r="C52" s="24">
        <f>IFERROR('Data Sheet'!B58,0)</f>
        <v>3811.13</v>
      </c>
      <c r="D52" s="24">
        <f>IFERROR('Data Sheet'!C58,0)</f>
        <v>6357</v>
      </c>
      <c r="E52" s="24">
        <f>IFERROR('Data Sheet'!D58,0)</f>
        <v>6528</v>
      </c>
      <c r="F52" s="24">
        <f>IFERROR('Data Sheet'!E58,0)</f>
        <v>7065</v>
      </c>
      <c r="G52" s="24">
        <f>IFERROR('Data Sheet'!F58,0)</f>
        <v>7651</v>
      </c>
      <c r="H52" s="24">
        <f>IFERROR('Data Sheet'!G58,0)</f>
        <v>8013</v>
      </c>
      <c r="I52" s="24">
        <f>IFERROR('Data Sheet'!H58,0)</f>
        <v>47439</v>
      </c>
      <c r="J52" s="24">
        <f>IFERROR('Data Sheet'!I58,0)</f>
        <v>48826</v>
      </c>
      <c r="K52" s="24">
        <f>IFERROR('Data Sheet'!J58,0)</f>
        <v>50069</v>
      </c>
      <c r="L52" s="24">
        <f>IFERROR('Data Sheet'!K58,0)</f>
        <v>50983</v>
      </c>
    </row>
    <row r="53" spans="2:13" x14ac:dyDescent="0.3">
      <c r="B53" s="23" t="s">
        <v>21</v>
      </c>
      <c r="C53" s="24">
        <f>IFERROR('Data Sheet'!B59,0)</f>
        <v>43.04</v>
      </c>
      <c r="D53" s="24">
        <f>IFERROR('Data Sheet'!C59,0)</f>
        <v>177</v>
      </c>
      <c r="E53" s="24">
        <f>IFERROR('Data Sheet'!D59,0)</f>
        <v>277</v>
      </c>
      <c r="F53" s="24">
        <f>IFERROR('Data Sheet'!E59,0)</f>
        <v>0</v>
      </c>
      <c r="G53" s="24">
        <f>IFERROR('Data Sheet'!F59,0)</f>
        <v>99</v>
      </c>
      <c r="H53" s="24">
        <f>IFERROR('Data Sheet'!G59,0)</f>
        <v>0</v>
      </c>
      <c r="I53" s="24">
        <f>IFERROR('Data Sheet'!H59,0)</f>
        <v>0</v>
      </c>
      <c r="J53" s="24">
        <f>IFERROR('Data Sheet'!I59,0)</f>
        <v>1043</v>
      </c>
      <c r="K53" s="24">
        <f>IFERROR('Data Sheet'!J59,0)</f>
        <v>1219</v>
      </c>
      <c r="L53" s="24">
        <f>IFERROR('Data Sheet'!K59,0)</f>
        <v>1484</v>
      </c>
    </row>
    <row r="54" spans="2:13" x14ac:dyDescent="0.3">
      <c r="B54" s="23" t="s">
        <v>20</v>
      </c>
      <c r="C54" s="24">
        <f>IFERROR('Data Sheet'!B60,0)</f>
        <v>10359.01</v>
      </c>
      <c r="D54" s="24">
        <f>IFERROR('Data Sheet'!C60,0)</f>
        <v>8043</v>
      </c>
      <c r="E54" s="24">
        <f>IFERROR('Data Sheet'!D60,0)</f>
        <v>8685</v>
      </c>
      <c r="F54" s="24">
        <f>IFERROR('Data Sheet'!E60,0)</f>
        <v>10581</v>
      </c>
      <c r="G54" s="24">
        <f>IFERROR('Data Sheet'!F60,0)</f>
        <v>10663</v>
      </c>
      <c r="H54" s="24">
        <f>IFERROR('Data Sheet'!G60,0)</f>
        <v>11924</v>
      </c>
      <c r="I54" s="24">
        <f>IFERROR('Data Sheet'!H60,0)</f>
        <v>21066</v>
      </c>
      <c r="J54" s="24">
        <f>IFERROR('Data Sheet'!I60,0)</f>
        <v>20402</v>
      </c>
      <c r="K54" s="24">
        <f>IFERROR('Data Sheet'!J60,0)</f>
        <v>21554</v>
      </c>
      <c r="L54" s="24">
        <f>IFERROR('Data Sheet'!K60,0)</f>
        <v>25787</v>
      </c>
    </row>
    <row r="55" spans="2:13" x14ac:dyDescent="0.3">
      <c r="B55" s="32" t="s">
        <v>81</v>
      </c>
      <c r="C55" s="30">
        <f>IFERROR('Data Sheet'!B61,0)</f>
        <v>14429.53</v>
      </c>
      <c r="D55" s="30">
        <f>IFERROR('Data Sheet'!C61,0)</f>
        <v>14793</v>
      </c>
      <c r="E55" s="30">
        <f>IFERROR('Data Sheet'!D61,0)</f>
        <v>15706</v>
      </c>
      <c r="F55" s="30">
        <f>IFERROR('Data Sheet'!E61,0)</f>
        <v>17862</v>
      </c>
      <c r="G55" s="30">
        <f>IFERROR('Data Sheet'!F61,0)</f>
        <v>18629</v>
      </c>
      <c r="H55" s="30">
        <f>IFERROR('Data Sheet'!G61,0)</f>
        <v>20153</v>
      </c>
      <c r="I55" s="30">
        <f>IFERROR('Data Sheet'!H61,0)</f>
        <v>68740</v>
      </c>
      <c r="J55" s="30">
        <f>IFERROR('Data Sheet'!I61,0)</f>
        <v>70506</v>
      </c>
      <c r="K55" s="30">
        <f>IFERROR('Data Sheet'!J61,0)</f>
        <v>73077</v>
      </c>
      <c r="L55" s="30">
        <f>IFERROR('Data Sheet'!K61,0)</f>
        <v>78489</v>
      </c>
    </row>
    <row r="56" spans="2:13" x14ac:dyDescent="0.3">
      <c r="B56" s="18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2:13" x14ac:dyDescent="0.3">
      <c r="B57" s="23" t="s">
        <v>19</v>
      </c>
      <c r="C57" s="24">
        <f>IFERROR('Data Sheet'!B62,0)</f>
        <v>2821.01</v>
      </c>
      <c r="D57" s="24">
        <f>IFERROR('Data Sheet'!C62,0)</f>
        <v>3258</v>
      </c>
      <c r="E57" s="24">
        <f>IFERROR('Data Sheet'!D62,0)</f>
        <v>4419</v>
      </c>
      <c r="F57" s="24">
        <f>IFERROR('Data Sheet'!E62,0)</f>
        <v>4528</v>
      </c>
      <c r="G57" s="24">
        <f>IFERROR('Data Sheet'!F62,0)</f>
        <v>4715</v>
      </c>
      <c r="H57" s="24">
        <f>IFERROR('Data Sheet'!G62,0)</f>
        <v>5479</v>
      </c>
      <c r="I57" s="24">
        <f>IFERROR('Data Sheet'!H62,0)</f>
        <v>51443</v>
      </c>
      <c r="J57" s="24">
        <f>IFERROR('Data Sheet'!I62,0)</f>
        <v>51473</v>
      </c>
      <c r="K57" s="24">
        <f>IFERROR('Data Sheet'!J62,0)</f>
        <v>52678</v>
      </c>
      <c r="L57" s="24">
        <f>IFERROR('Data Sheet'!K62,0)</f>
        <v>53744</v>
      </c>
    </row>
    <row r="58" spans="2:13" x14ac:dyDescent="0.3">
      <c r="B58" s="23" t="s">
        <v>18</v>
      </c>
      <c r="C58" s="24">
        <f>IFERROR('Data Sheet'!B63,0)</f>
        <v>516.29999999999995</v>
      </c>
      <c r="D58" s="24">
        <f>IFERROR('Data Sheet'!C63,0)</f>
        <v>408</v>
      </c>
      <c r="E58" s="24">
        <f>IFERROR('Data Sheet'!D63,0)</f>
        <v>229</v>
      </c>
      <c r="F58" s="24">
        <f>IFERROR('Data Sheet'!E63,0)</f>
        <v>461</v>
      </c>
      <c r="G58" s="24">
        <f>IFERROR('Data Sheet'!F63,0)</f>
        <v>406</v>
      </c>
      <c r="H58" s="24">
        <f>IFERROR('Data Sheet'!G63,0)</f>
        <v>597</v>
      </c>
      <c r="I58" s="24">
        <f>IFERROR('Data Sheet'!H63,0)</f>
        <v>745</v>
      </c>
      <c r="J58" s="24">
        <f>IFERROR('Data Sheet'!I63,0)</f>
        <v>1313</v>
      </c>
      <c r="K58" s="24">
        <f>IFERROR('Data Sheet'!J63,0)</f>
        <v>1132</v>
      </c>
      <c r="L58" s="24">
        <f>IFERROR('Data Sheet'!K63,0)</f>
        <v>1025</v>
      </c>
    </row>
    <row r="59" spans="2:13" x14ac:dyDescent="0.3">
      <c r="B59" s="23" t="s">
        <v>17</v>
      </c>
      <c r="C59" s="24">
        <f>IFERROR('Data Sheet'!B64,0)</f>
        <v>3025.08</v>
      </c>
      <c r="D59" s="24">
        <f>IFERROR('Data Sheet'!C64,0)</f>
        <v>2592</v>
      </c>
      <c r="E59" s="24">
        <f>IFERROR('Data Sheet'!D64,0)</f>
        <v>3794</v>
      </c>
      <c r="F59" s="24">
        <f>IFERROR('Data Sheet'!E64,0)</f>
        <v>2873</v>
      </c>
      <c r="G59" s="24">
        <f>IFERROR('Data Sheet'!F64,0)</f>
        <v>2716</v>
      </c>
      <c r="H59" s="24">
        <f>IFERROR('Data Sheet'!G64,0)</f>
        <v>1255</v>
      </c>
      <c r="I59" s="24">
        <f>IFERROR('Data Sheet'!H64,0)</f>
        <v>2709</v>
      </c>
      <c r="J59" s="24">
        <f>IFERROR('Data Sheet'!I64,0)</f>
        <v>3521</v>
      </c>
      <c r="K59" s="24">
        <f>IFERROR('Data Sheet'!J64,0)</f>
        <v>2882</v>
      </c>
      <c r="L59" s="24">
        <f>IFERROR('Data Sheet'!K64,0)</f>
        <v>4625</v>
      </c>
    </row>
    <row r="60" spans="2:13" x14ac:dyDescent="0.3">
      <c r="B60" s="23" t="s">
        <v>16</v>
      </c>
      <c r="C60" s="24">
        <f>IFERROR('Data Sheet'!B65-SUM('Data Sheet'!B67:B69),0)</f>
        <v>1518.5800000000008</v>
      </c>
      <c r="D60" s="24">
        <f>IFERROR('Data Sheet'!C65-SUM('Data Sheet'!C67:C69),0)</f>
        <v>1536</v>
      </c>
      <c r="E60" s="24">
        <f>IFERROR('Data Sheet'!D65-SUM('Data Sheet'!D67:D69),0)</f>
        <v>1810</v>
      </c>
      <c r="F60" s="24">
        <f>IFERROR('Data Sheet'!E65-SUM('Data Sheet'!E67:E69),0)</f>
        <v>2692</v>
      </c>
      <c r="G60" s="24">
        <f>IFERROR('Data Sheet'!F65-SUM('Data Sheet'!F67:F69),0)</f>
        <v>2645</v>
      </c>
      <c r="H60" s="24">
        <f>IFERROR('Data Sheet'!G65-SUM('Data Sheet'!G67:G69),0)</f>
        <v>3793</v>
      </c>
      <c r="I60" s="24">
        <f>IFERROR('Data Sheet'!H65-SUM('Data Sheet'!H67:H69),0)</f>
        <v>4035</v>
      </c>
      <c r="J60" s="24">
        <f>IFERROR('Data Sheet'!I65-SUM('Data Sheet'!I67:I69),0)</f>
        <v>4021</v>
      </c>
      <c r="K60" s="24">
        <f>IFERROR('Data Sheet'!J65-SUM('Data Sheet'!J67:J69),0)</f>
        <v>4377</v>
      </c>
      <c r="L60" s="24">
        <f>IFERROR('Data Sheet'!K65-SUM('Data Sheet'!K67:K69),0)</f>
        <v>4517</v>
      </c>
    </row>
    <row r="61" spans="2:13" x14ac:dyDescent="0.3">
      <c r="B61" s="32" t="s">
        <v>85</v>
      </c>
      <c r="C61" s="30">
        <f>IFERROR(SUM(C57:C60),0)</f>
        <v>7880.9700000000012</v>
      </c>
      <c r="D61" s="30">
        <f t="shared" ref="D61:L61" si="20">IFERROR(SUM(D57:D60),0)</f>
        <v>7794</v>
      </c>
      <c r="E61" s="30">
        <f t="shared" si="20"/>
        <v>10252</v>
      </c>
      <c r="F61" s="30">
        <f t="shared" si="20"/>
        <v>10554</v>
      </c>
      <c r="G61" s="30">
        <f t="shared" si="20"/>
        <v>10482</v>
      </c>
      <c r="H61" s="30">
        <f t="shared" si="20"/>
        <v>11124</v>
      </c>
      <c r="I61" s="30">
        <f t="shared" si="20"/>
        <v>58932</v>
      </c>
      <c r="J61" s="30">
        <f t="shared" si="20"/>
        <v>60328</v>
      </c>
      <c r="K61" s="30">
        <f t="shared" si="20"/>
        <v>61069</v>
      </c>
      <c r="L61" s="30">
        <f t="shared" si="20"/>
        <v>63911</v>
      </c>
    </row>
    <row r="62" spans="2:13" x14ac:dyDescent="0.3">
      <c r="B62" s="18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2:13" x14ac:dyDescent="0.3">
      <c r="B63" s="23" t="s">
        <v>14</v>
      </c>
      <c r="C63" s="24">
        <f>IFERROR('Data Sheet'!B67,0)</f>
        <v>1010.28</v>
      </c>
      <c r="D63" s="24">
        <f>IFERROR('Data Sheet'!C67,0)</f>
        <v>1264</v>
      </c>
      <c r="E63" s="24">
        <f>IFERROR('Data Sheet'!D67,0)</f>
        <v>1085</v>
      </c>
      <c r="F63" s="24">
        <f>IFERROR('Data Sheet'!E67,0)</f>
        <v>1310</v>
      </c>
      <c r="G63" s="24">
        <f>IFERROR('Data Sheet'!F67,0)</f>
        <v>1816</v>
      </c>
      <c r="H63" s="24">
        <f>IFERROR('Data Sheet'!G67,0)</f>
        <v>1149</v>
      </c>
      <c r="I63" s="24">
        <f>IFERROR('Data Sheet'!H67,0)</f>
        <v>1758</v>
      </c>
      <c r="J63" s="24">
        <f>IFERROR('Data Sheet'!I67,0)</f>
        <v>2236</v>
      </c>
      <c r="K63" s="24">
        <f>IFERROR('Data Sheet'!J67,0)</f>
        <v>3079</v>
      </c>
      <c r="L63" s="24">
        <f>IFERROR('Data Sheet'!K67,0)</f>
        <v>2997</v>
      </c>
    </row>
    <row r="64" spans="2:13" x14ac:dyDescent="0.3">
      <c r="B64" s="23" t="s">
        <v>13</v>
      </c>
      <c r="C64" s="24">
        <f>IFERROR('Data Sheet'!B68,0)</f>
        <v>2848.79</v>
      </c>
      <c r="D64" s="24">
        <f>IFERROR('Data Sheet'!C68,0)</f>
        <v>2726</v>
      </c>
      <c r="E64" s="24">
        <f>IFERROR('Data Sheet'!D68,0)</f>
        <v>2541</v>
      </c>
      <c r="F64" s="24">
        <f>IFERROR('Data Sheet'!E68,0)</f>
        <v>2513</v>
      </c>
      <c r="G64" s="24">
        <f>IFERROR('Data Sheet'!F68,0)</f>
        <v>2574</v>
      </c>
      <c r="H64" s="24">
        <f>IFERROR('Data Sheet'!G68,0)</f>
        <v>2767</v>
      </c>
      <c r="I64" s="24">
        <f>IFERROR('Data Sheet'!H68,0)</f>
        <v>3579</v>
      </c>
      <c r="J64" s="24">
        <f>IFERROR('Data Sheet'!I68,0)</f>
        <v>4096</v>
      </c>
      <c r="K64" s="24">
        <f>IFERROR('Data Sheet'!J68,0)</f>
        <v>4251</v>
      </c>
      <c r="L64" s="24">
        <f>IFERROR('Data Sheet'!K68,0)</f>
        <v>4022</v>
      </c>
    </row>
    <row r="65" spans="1:13" x14ac:dyDescent="0.3">
      <c r="B65" s="23" t="s">
        <v>12</v>
      </c>
      <c r="C65" s="24">
        <f>IFERROR('Data Sheet'!B69,0)</f>
        <v>2689.49</v>
      </c>
      <c r="D65" s="24">
        <f>IFERROR('Data Sheet'!C69,0)</f>
        <v>3009</v>
      </c>
      <c r="E65" s="24">
        <f>IFERROR('Data Sheet'!D69,0)</f>
        <v>1828</v>
      </c>
      <c r="F65" s="24">
        <f>IFERROR('Data Sheet'!E69,0)</f>
        <v>3485</v>
      </c>
      <c r="G65" s="24">
        <f>IFERROR('Data Sheet'!F69,0)</f>
        <v>3757</v>
      </c>
      <c r="H65" s="24">
        <f>IFERROR('Data Sheet'!G69,0)</f>
        <v>5113</v>
      </c>
      <c r="I65" s="24">
        <f>IFERROR('Data Sheet'!H69,0)</f>
        <v>4471</v>
      </c>
      <c r="J65" s="24">
        <f>IFERROR('Data Sheet'!I69,0)</f>
        <v>3846</v>
      </c>
      <c r="K65" s="24">
        <f>IFERROR('Data Sheet'!J69,0)</f>
        <v>4678</v>
      </c>
      <c r="L65" s="24">
        <f>IFERROR('Data Sheet'!K69,0)</f>
        <v>7559</v>
      </c>
    </row>
    <row r="66" spans="1:13" x14ac:dyDescent="0.3">
      <c r="B66" s="33" t="s">
        <v>82</v>
      </c>
      <c r="C66" s="30">
        <f>IFERROR(SUM(C63:C65),0)</f>
        <v>6548.5599999999995</v>
      </c>
      <c r="D66" s="30">
        <f t="shared" ref="D66:L66" si="21">IFERROR(SUM(D63:D65),0)</f>
        <v>6999</v>
      </c>
      <c r="E66" s="30">
        <f t="shared" si="21"/>
        <v>5454</v>
      </c>
      <c r="F66" s="30">
        <f t="shared" si="21"/>
        <v>7308</v>
      </c>
      <c r="G66" s="30">
        <f t="shared" si="21"/>
        <v>8147</v>
      </c>
      <c r="H66" s="30">
        <f t="shared" si="21"/>
        <v>9029</v>
      </c>
      <c r="I66" s="30">
        <f t="shared" si="21"/>
        <v>9808</v>
      </c>
      <c r="J66" s="30">
        <f t="shared" si="21"/>
        <v>10178</v>
      </c>
      <c r="K66" s="30">
        <f t="shared" si="21"/>
        <v>12008</v>
      </c>
      <c r="L66" s="30">
        <f t="shared" si="21"/>
        <v>14578</v>
      </c>
    </row>
    <row r="67" spans="1:13" x14ac:dyDescent="0.3">
      <c r="B67" s="18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3" x14ac:dyDescent="0.3">
      <c r="A68" s="12" t="s">
        <v>58</v>
      </c>
      <c r="B68" s="33" t="s">
        <v>83</v>
      </c>
      <c r="C68" s="30">
        <f>C66+C61</f>
        <v>14429.53</v>
      </c>
      <c r="D68" s="30">
        <f t="shared" ref="D68:L68" si="22">D66+D61</f>
        <v>14793</v>
      </c>
      <c r="E68" s="30">
        <f t="shared" si="22"/>
        <v>15706</v>
      </c>
      <c r="F68" s="30">
        <f t="shared" si="22"/>
        <v>17862</v>
      </c>
      <c r="G68" s="30">
        <f t="shared" si="22"/>
        <v>18629</v>
      </c>
      <c r="H68" s="30">
        <f t="shared" si="22"/>
        <v>20153</v>
      </c>
      <c r="I68" s="30">
        <f t="shared" si="22"/>
        <v>68740</v>
      </c>
      <c r="J68" s="30">
        <f t="shared" si="22"/>
        <v>70506</v>
      </c>
      <c r="K68" s="30">
        <f t="shared" si="22"/>
        <v>73077</v>
      </c>
      <c r="L68" s="30">
        <f t="shared" si="22"/>
        <v>78489</v>
      </c>
    </row>
    <row r="69" spans="1:13" x14ac:dyDescent="0.3">
      <c r="B69" s="18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3" x14ac:dyDescent="0.3">
      <c r="B70" s="18" t="s">
        <v>84</v>
      </c>
      <c r="C70" s="11" t="b">
        <f>C68=C55</f>
        <v>1</v>
      </c>
      <c r="D70" s="11" t="b">
        <f t="shared" ref="D70:L70" si="23">D68=D55</f>
        <v>1</v>
      </c>
      <c r="E70" s="11" t="b">
        <f t="shared" si="23"/>
        <v>1</v>
      </c>
      <c r="F70" s="11" t="b">
        <f t="shared" si="23"/>
        <v>1</v>
      </c>
      <c r="G70" s="11" t="b">
        <f t="shared" si="23"/>
        <v>1</v>
      </c>
      <c r="H70" s="11" t="b">
        <f t="shared" si="23"/>
        <v>1</v>
      </c>
      <c r="I70" s="11" t="b">
        <f t="shared" si="23"/>
        <v>1</v>
      </c>
      <c r="J70" s="11" t="b">
        <f t="shared" si="23"/>
        <v>1</v>
      </c>
      <c r="K70" s="11" t="b">
        <f t="shared" si="23"/>
        <v>1</v>
      </c>
      <c r="L70" s="11" t="b">
        <f t="shared" si="23"/>
        <v>1</v>
      </c>
    </row>
    <row r="72" spans="1:13" x14ac:dyDescent="0.3">
      <c r="B72" s="22" t="s">
        <v>116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</row>
    <row r="74" spans="1:13" x14ac:dyDescent="0.3">
      <c r="B74" s="12" t="s">
        <v>119</v>
      </c>
    </row>
    <row r="75" spans="1:13" x14ac:dyDescent="0.3">
      <c r="B75" t="s">
        <v>87</v>
      </c>
      <c r="C75" s="24">
        <f>IFERROR('Cash Flow Data'!E4,0)</f>
        <v>5510</v>
      </c>
      <c r="D75" s="24">
        <f>IFERROR('Cash Flow Data'!F4,0)</f>
        <v>6025</v>
      </c>
      <c r="E75" s="24">
        <f>IFERROR('Cash Flow Data'!G4,0)</f>
        <v>6512</v>
      </c>
      <c r="F75" s="24">
        <f>IFERROR('Cash Flow Data'!H4,0)</f>
        <v>7485</v>
      </c>
      <c r="G75" s="24">
        <f>IFERROR('Cash Flow Data'!I4,0)</f>
        <v>8909</v>
      </c>
      <c r="H75" s="24">
        <f>IFERROR('Cash Flow Data'!J4,0)</f>
        <v>9723</v>
      </c>
      <c r="I75" s="24">
        <f>IFERROR('Cash Flow Data'!K4,0)</f>
        <v>11672</v>
      </c>
      <c r="J75" s="24">
        <f>IFERROR('Cash Flow Data'!L4,0)</f>
        <v>12829</v>
      </c>
      <c r="K75" s="24">
        <f>IFERROR('Cash Flow Data'!M4,0)</f>
        <v>14089</v>
      </c>
      <c r="L75" s="24">
        <f>IFERROR('Cash Flow Data'!N4,0)</f>
        <v>14537</v>
      </c>
    </row>
    <row r="76" spans="1:13" x14ac:dyDescent="0.3">
      <c r="B76" t="s">
        <v>14</v>
      </c>
      <c r="C76" s="24">
        <f>IFERROR('Cash Flow Data'!E5,0)</f>
        <v>3</v>
      </c>
      <c r="D76" s="24">
        <f>IFERROR('Cash Flow Data'!F5,0)</f>
        <v>-257</v>
      </c>
      <c r="E76" s="24">
        <f>IFERROR('Cash Flow Data'!G5,0)</f>
        <v>173</v>
      </c>
      <c r="F76" s="24">
        <f>IFERROR('Cash Flow Data'!H5,0)</f>
        <v>0</v>
      </c>
      <c r="G76" s="24">
        <f>IFERROR('Cash Flow Data'!I5,0)</f>
        <v>0</v>
      </c>
      <c r="H76" s="24">
        <f>IFERROR('Cash Flow Data'!J5,0)</f>
        <v>0</v>
      </c>
      <c r="I76" s="24">
        <f>IFERROR('Cash Flow Data'!K5,0)</f>
        <v>0</v>
      </c>
      <c r="J76" s="24">
        <f>IFERROR('Cash Flow Data'!L5,0)</f>
        <v>0</v>
      </c>
      <c r="K76" s="24">
        <f>IFERROR('Cash Flow Data'!M5,0)</f>
        <v>0</v>
      </c>
      <c r="L76" s="24">
        <f>IFERROR('Cash Flow Data'!N5,0)</f>
        <v>0</v>
      </c>
    </row>
    <row r="77" spans="1:13" x14ac:dyDescent="0.3">
      <c r="B77" t="s">
        <v>13</v>
      </c>
      <c r="C77" s="24">
        <f>IFERROR('Cash Flow Data'!E6,0)</f>
        <v>91</v>
      </c>
      <c r="D77" s="24">
        <f>IFERROR('Cash Flow Data'!F6,0)</f>
        <v>89</v>
      </c>
      <c r="E77" s="24">
        <f>IFERROR('Cash Flow Data'!G6,0)</f>
        <v>37</v>
      </c>
      <c r="F77" s="24">
        <f>IFERROR('Cash Flow Data'!H6,0)</f>
        <v>-146</v>
      </c>
      <c r="G77" s="24">
        <f>IFERROR('Cash Flow Data'!I6,0)</f>
        <v>-195</v>
      </c>
      <c r="H77" s="24">
        <f>IFERROR('Cash Flow Data'!J6,0)</f>
        <v>-331</v>
      </c>
      <c r="I77" s="24">
        <f>IFERROR('Cash Flow Data'!K6,0)</f>
        <v>-543</v>
      </c>
      <c r="J77" s="24">
        <f>IFERROR('Cash Flow Data'!L6,0)</f>
        <v>-758</v>
      </c>
      <c r="K77" s="24">
        <f>IFERROR('Cash Flow Data'!M6,0)</f>
        <v>-339</v>
      </c>
      <c r="L77" s="24">
        <f>IFERROR('Cash Flow Data'!N6,0)</f>
        <v>74</v>
      </c>
    </row>
    <row r="78" spans="1:13" x14ac:dyDescent="0.3">
      <c r="B78" t="s">
        <v>88</v>
      </c>
      <c r="C78" s="24">
        <f>IFERROR('Cash Flow Data'!E7,0)</f>
        <v>-327</v>
      </c>
      <c r="D78" s="24">
        <f>IFERROR('Cash Flow Data'!F7,0)</f>
        <v>164</v>
      </c>
      <c r="E78" s="24">
        <f>IFERROR('Cash Flow Data'!G7,0)</f>
        <v>501</v>
      </c>
      <c r="F78" s="24">
        <f>IFERROR('Cash Flow Data'!H7,0)</f>
        <v>0</v>
      </c>
      <c r="G78" s="24">
        <f>IFERROR('Cash Flow Data'!I7,0)</f>
        <v>0</v>
      </c>
      <c r="H78" s="24">
        <f>IFERROR('Cash Flow Data'!J7,0)</f>
        <v>0</v>
      </c>
      <c r="I78" s="24">
        <f>IFERROR('Cash Flow Data'!K7,0)</f>
        <v>0</v>
      </c>
      <c r="J78" s="24">
        <f>IFERROR('Cash Flow Data'!L7,0)</f>
        <v>0</v>
      </c>
      <c r="K78" s="24">
        <f>IFERROR('Cash Flow Data'!M7,0)</f>
        <v>0</v>
      </c>
      <c r="L78" s="24">
        <f>IFERROR('Cash Flow Data'!N7,0)</f>
        <v>0</v>
      </c>
    </row>
    <row r="79" spans="1:13" x14ac:dyDescent="0.3">
      <c r="B79" t="s">
        <v>89</v>
      </c>
      <c r="C79" s="24">
        <f>IFERROR('Cash Flow Data'!E8,0)</f>
        <v>-148</v>
      </c>
      <c r="D79" s="24">
        <f>IFERROR('Cash Flow Data'!F8,0)</f>
        <v>0</v>
      </c>
      <c r="E79" s="24">
        <f>IFERROR('Cash Flow Data'!G8,0)</f>
        <v>0</v>
      </c>
      <c r="F79" s="24">
        <f>IFERROR('Cash Flow Data'!H8,0)</f>
        <v>0</v>
      </c>
      <c r="G79" s="24">
        <f>IFERROR('Cash Flow Data'!I8,0)</f>
        <v>0</v>
      </c>
      <c r="H79" s="24">
        <f>IFERROR('Cash Flow Data'!J8,0)</f>
        <v>0</v>
      </c>
      <c r="I79" s="24">
        <f>IFERROR('Cash Flow Data'!K8,0)</f>
        <v>0</v>
      </c>
      <c r="J79" s="24">
        <f>IFERROR('Cash Flow Data'!L8,0)</f>
        <v>0</v>
      </c>
      <c r="K79" s="24">
        <f>IFERROR('Cash Flow Data'!M8,0)</f>
        <v>0</v>
      </c>
      <c r="L79" s="24">
        <f>IFERROR('Cash Flow Data'!N8,0)</f>
        <v>0</v>
      </c>
    </row>
    <row r="80" spans="1:13" x14ac:dyDescent="0.3">
      <c r="B80" t="s">
        <v>90</v>
      </c>
      <c r="C80" s="24">
        <f>IFERROR('Cash Flow Data'!E9,0)</f>
        <v>38</v>
      </c>
      <c r="D80" s="24">
        <f>IFERROR('Cash Flow Data'!F9,0)</f>
        <v>-77</v>
      </c>
      <c r="E80" s="24">
        <f>IFERROR('Cash Flow Data'!G9,0)</f>
        <v>-99</v>
      </c>
      <c r="F80" s="24">
        <f>IFERROR('Cash Flow Data'!H9,0)</f>
        <v>982</v>
      </c>
      <c r="G80" s="24">
        <f>IFERROR('Cash Flow Data'!I9,0)</f>
        <v>-147</v>
      </c>
      <c r="H80" s="24">
        <f>IFERROR('Cash Flow Data'!J9,0)</f>
        <v>742</v>
      </c>
      <c r="I80" s="24">
        <f>IFERROR('Cash Flow Data'!K9,0)</f>
        <v>442</v>
      </c>
      <c r="J80" s="24">
        <f>IFERROR('Cash Flow Data'!L9,0)</f>
        <v>-242</v>
      </c>
      <c r="K80" s="24">
        <f>IFERROR('Cash Flow Data'!M9,0)</f>
        <v>-621</v>
      </c>
      <c r="L80" s="24">
        <f>IFERROR('Cash Flow Data'!N9,0)</f>
        <v>1239</v>
      </c>
    </row>
    <row r="81" spans="2:12" x14ac:dyDescent="0.3">
      <c r="B81" t="s">
        <v>91</v>
      </c>
      <c r="C81" s="24">
        <f>IFERROR('Cash Flow Data'!E10,0)</f>
        <v>-342</v>
      </c>
      <c r="D81" s="24">
        <f>IFERROR('Cash Flow Data'!F10,0)</f>
        <v>-81</v>
      </c>
      <c r="E81" s="24">
        <f>IFERROR('Cash Flow Data'!G10,0)</f>
        <v>566</v>
      </c>
      <c r="F81" s="24">
        <f>IFERROR('Cash Flow Data'!H10,0)</f>
        <v>836</v>
      </c>
      <c r="G81" s="24">
        <f>IFERROR('Cash Flow Data'!I10,0)</f>
        <v>-342</v>
      </c>
      <c r="H81" s="24">
        <f>IFERROR('Cash Flow Data'!J10,0)</f>
        <v>411</v>
      </c>
      <c r="I81" s="24">
        <f>IFERROR('Cash Flow Data'!K10,0)</f>
        <v>-101</v>
      </c>
      <c r="J81" s="24">
        <f>IFERROR('Cash Flow Data'!L10,0)</f>
        <v>-1000</v>
      </c>
      <c r="K81" s="24">
        <f>IFERROR('Cash Flow Data'!M10,0)</f>
        <v>-960</v>
      </c>
      <c r="L81" s="24">
        <f>IFERROR('Cash Flow Data'!N10,0)</f>
        <v>1313</v>
      </c>
    </row>
    <row r="82" spans="2:12" x14ac:dyDescent="0.3">
      <c r="B82" t="s">
        <v>92</v>
      </c>
      <c r="C82" s="24">
        <f>IFERROR('Cash Flow Data'!E11,0)</f>
        <v>-1862</v>
      </c>
      <c r="D82" s="24">
        <f>IFERROR('Cash Flow Data'!F11,0)</f>
        <v>-1765</v>
      </c>
      <c r="E82" s="24">
        <f>IFERROR('Cash Flow Data'!G11,0)</f>
        <v>-1859</v>
      </c>
      <c r="F82" s="24">
        <f>IFERROR('Cash Flow Data'!H11,0)</f>
        <v>-2264</v>
      </c>
      <c r="G82" s="24">
        <f>IFERROR('Cash Flow Data'!I11,0)</f>
        <v>-2767</v>
      </c>
      <c r="H82" s="24">
        <f>IFERROR('Cash Flow Data'!J11,0)</f>
        <v>-2505</v>
      </c>
      <c r="I82" s="24">
        <f>IFERROR('Cash Flow Data'!K11,0)</f>
        <v>-2407</v>
      </c>
      <c r="J82" s="24">
        <f>IFERROR('Cash Flow Data'!L11,0)</f>
        <v>-2784</v>
      </c>
      <c r="K82" s="24">
        <f>IFERROR('Cash Flow Data'!M11,0)</f>
        <v>-3138</v>
      </c>
      <c r="L82" s="24">
        <f>IFERROR('Cash Flow Data'!N11,0)</f>
        <v>-381</v>
      </c>
    </row>
    <row r="83" spans="2:12" x14ac:dyDescent="0.3">
      <c r="B83" s="34" t="s">
        <v>120</v>
      </c>
      <c r="C83" s="31">
        <f>SUM(C75:C82)</f>
        <v>2963</v>
      </c>
      <c r="D83" s="31">
        <f t="shared" ref="D83:L83" si="24">SUM(D75:D82)</f>
        <v>4098</v>
      </c>
      <c r="E83" s="31">
        <f t="shared" si="24"/>
        <v>5831</v>
      </c>
      <c r="F83" s="31">
        <f t="shared" si="24"/>
        <v>6893</v>
      </c>
      <c r="G83" s="31">
        <f t="shared" si="24"/>
        <v>5458</v>
      </c>
      <c r="H83" s="31">
        <f t="shared" si="24"/>
        <v>8040</v>
      </c>
      <c r="I83" s="31">
        <f t="shared" si="24"/>
        <v>9063</v>
      </c>
      <c r="J83" s="31">
        <f t="shared" si="24"/>
        <v>8045</v>
      </c>
      <c r="K83" s="31">
        <f t="shared" si="24"/>
        <v>9031</v>
      </c>
      <c r="L83" s="31">
        <f t="shared" si="24"/>
        <v>16782</v>
      </c>
    </row>
    <row r="85" spans="2:12" x14ac:dyDescent="0.3">
      <c r="B85" s="12" t="s">
        <v>122</v>
      </c>
    </row>
    <row r="86" spans="2:12" x14ac:dyDescent="0.3">
      <c r="B86" t="s">
        <v>94</v>
      </c>
      <c r="C86" s="24">
        <f>IFERROR('Cash Flow Data'!E15,0)</f>
        <v>-606</v>
      </c>
      <c r="D86" s="24">
        <f>IFERROR('Cash Flow Data'!F15,0)</f>
        <v>-810</v>
      </c>
      <c r="E86" s="24">
        <f>IFERROR('Cash Flow Data'!G15,0)</f>
        <v>-1113</v>
      </c>
      <c r="F86" s="24">
        <f>IFERROR('Cash Flow Data'!H15,0)</f>
        <v>-895</v>
      </c>
      <c r="G86" s="24">
        <f>IFERROR('Cash Flow Data'!I15,0)</f>
        <v>-767</v>
      </c>
      <c r="H86" s="24">
        <f>IFERROR('Cash Flow Data'!J15,0)</f>
        <v>-862</v>
      </c>
      <c r="I86" s="24">
        <f>IFERROR('Cash Flow Data'!K15,0)</f>
        <v>-4163</v>
      </c>
      <c r="J86" s="24">
        <f>IFERROR('Cash Flow Data'!L15,0)</f>
        <v>-1228</v>
      </c>
      <c r="K86" s="24">
        <f>IFERROR('Cash Flow Data'!M15,0)</f>
        <v>-1192</v>
      </c>
      <c r="L86" s="24">
        <f>IFERROR('Cash Flow Data'!N15,0)</f>
        <v>-1477</v>
      </c>
    </row>
    <row r="87" spans="2:12" x14ac:dyDescent="0.3">
      <c r="B87" t="s">
        <v>95</v>
      </c>
      <c r="C87" s="24">
        <f>IFERROR('Cash Flow Data'!E16,0)</f>
        <v>560</v>
      </c>
      <c r="D87" s="24">
        <f>IFERROR('Cash Flow Data'!F16,0)</f>
        <v>99</v>
      </c>
      <c r="E87" s="24">
        <f>IFERROR('Cash Flow Data'!G16,0)</f>
        <v>176</v>
      </c>
      <c r="F87" s="24">
        <f>IFERROR('Cash Flow Data'!H16,0)</f>
        <v>32</v>
      </c>
      <c r="G87" s="24">
        <f>IFERROR('Cash Flow Data'!I16,0)</f>
        <v>13</v>
      </c>
      <c r="H87" s="24">
        <f>IFERROR('Cash Flow Data'!J16,0)</f>
        <v>52</v>
      </c>
      <c r="I87" s="24">
        <f>IFERROR('Cash Flow Data'!K16,0)</f>
        <v>97</v>
      </c>
      <c r="J87" s="24">
        <f>IFERROR('Cash Flow Data'!L16,0)</f>
        <v>175</v>
      </c>
      <c r="K87" s="24">
        <f>IFERROR('Cash Flow Data'!M16,0)</f>
        <v>181</v>
      </c>
      <c r="L87" s="24">
        <f>IFERROR('Cash Flow Data'!N16,0)</f>
        <v>20</v>
      </c>
    </row>
    <row r="88" spans="2:12" x14ac:dyDescent="0.3">
      <c r="B88" t="s">
        <v>96</v>
      </c>
      <c r="C88" s="24">
        <f>IFERROR('Cash Flow Data'!E17,0)</f>
        <v>-19353</v>
      </c>
      <c r="D88" s="24">
        <f>IFERROR('Cash Flow Data'!F17,0)</f>
        <v>-20666</v>
      </c>
      <c r="E88" s="24">
        <f>IFERROR('Cash Flow Data'!G17,0)</f>
        <v>-31214</v>
      </c>
      <c r="F88" s="24">
        <f>IFERROR('Cash Flow Data'!H17,0)</f>
        <v>-51855</v>
      </c>
      <c r="G88" s="24">
        <f>IFERROR('Cash Flow Data'!I17,0)</f>
        <v>-74365</v>
      </c>
      <c r="H88" s="24">
        <f>IFERROR('Cash Flow Data'!J17,0)</f>
        <v>-36090</v>
      </c>
      <c r="I88" s="24">
        <f>IFERROR('Cash Flow Data'!K17,0)</f>
        <v>-39920</v>
      </c>
      <c r="J88" s="24">
        <f>IFERROR('Cash Flow Data'!L17,0)</f>
        <v>-48522</v>
      </c>
      <c r="K88" s="24">
        <f>IFERROR('Cash Flow Data'!M17,0)</f>
        <v>-22649</v>
      </c>
      <c r="L88" s="24">
        <f>IFERROR('Cash Flow Data'!N17,0)</f>
        <v>-21337</v>
      </c>
    </row>
    <row r="89" spans="2:12" x14ac:dyDescent="0.3">
      <c r="B89" t="s">
        <v>97</v>
      </c>
      <c r="C89" s="24">
        <f>IFERROR('Cash Flow Data'!E18,0)</f>
        <v>19461</v>
      </c>
      <c r="D89" s="24">
        <f>IFERROR('Cash Flow Data'!F18,0)</f>
        <v>20937</v>
      </c>
      <c r="E89" s="24">
        <f>IFERROR('Cash Flow Data'!G18,0)</f>
        <v>30083</v>
      </c>
      <c r="F89" s="24">
        <f>IFERROR('Cash Flow Data'!H18,0)</f>
        <v>52897</v>
      </c>
      <c r="G89" s="24">
        <f>IFERROR('Cash Flow Data'!I18,0)</f>
        <v>74691</v>
      </c>
      <c r="H89" s="24">
        <f>IFERROR('Cash Flow Data'!J18,0)</f>
        <v>37690</v>
      </c>
      <c r="I89" s="24">
        <f>IFERROR('Cash Flow Data'!K18,0)</f>
        <v>38486</v>
      </c>
      <c r="J89" s="24">
        <f>IFERROR('Cash Flow Data'!L18,0)</f>
        <v>47786</v>
      </c>
      <c r="K89" s="24">
        <f>IFERROR('Cash Flow Data'!M18,0)</f>
        <v>23462</v>
      </c>
      <c r="L89" s="24">
        <f>IFERROR('Cash Flow Data'!N18,0)</f>
        <v>19846</v>
      </c>
    </row>
    <row r="90" spans="2:12" x14ac:dyDescent="0.3">
      <c r="B90" t="s">
        <v>98</v>
      </c>
      <c r="C90" s="24">
        <f>IFERROR('Cash Flow Data'!E19,0)</f>
        <v>218</v>
      </c>
      <c r="D90" s="24">
        <f>IFERROR('Cash Flow Data'!F19,0)</f>
        <v>315</v>
      </c>
      <c r="E90" s="24">
        <f>IFERROR('Cash Flow Data'!G19,0)</f>
        <v>264</v>
      </c>
      <c r="F90" s="24">
        <f>IFERROR('Cash Flow Data'!H19,0)</f>
        <v>297</v>
      </c>
      <c r="G90" s="24">
        <f>IFERROR('Cash Flow Data'!I19,0)</f>
        <v>289</v>
      </c>
      <c r="H90" s="24">
        <f>IFERROR('Cash Flow Data'!J19,0)</f>
        <v>351</v>
      </c>
      <c r="I90" s="24">
        <f>IFERROR('Cash Flow Data'!K19,0)</f>
        <v>277</v>
      </c>
      <c r="J90" s="24">
        <f>IFERROR('Cash Flow Data'!L19,0)</f>
        <v>161</v>
      </c>
      <c r="K90" s="24">
        <f>IFERROR('Cash Flow Data'!M19,0)</f>
        <v>259</v>
      </c>
      <c r="L90" s="24">
        <f>IFERROR('Cash Flow Data'!N19,0)</f>
        <v>425</v>
      </c>
    </row>
    <row r="91" spans="2:12" x14ac:dyDescent="0.3">
      <c r="B91" t="s">
        <v>99</v>
      </c>
      <c r="C91" s="24">
        <f>IFERROR('Cash Flow Data'!E20,0)</f>
        <v>24</v>
      </c>
      <c r="D91" s="24">
        <f>IFERROR('Cash Flow Data'!F20,0)</f>
        <v>33</v>
      </c>
      <c r="E91" s="24">
        <f>IFERROR('Cash Flow Data'!G20,0)</f>
        <v>14</v>
      </c>
      <c r="F91" s="24">
        <f>IFERROR('Cash Flow Data'!H20,0)</f>
        <v>0</v>
      </c>
      <c r="G91" s="24">
        <f>IFERROR('Cash Flow Data'!I20,0)</f>
        <v>1</v>
      </c>
      <c r="H91" s="24">
        <f>IFERROR('Cash Flow Data'!J20,0)</f>
        <v>1</v>
      </c>
      <c r="I91" s="24">
        <f>IFERROR('Cash Flow Data'!K20,0)</f>
        <v>1</v>
      </c>
      <c r="J91" s="24">
        <f>IFERROR('Cash Flow Data'!L20,0)</f>
        <v>1</v>
      </c>
      <c r="K91" s="24">
        <f>IFERROR('Cash Flow Data'!M20,0)</f>
        <v>2</v>
      </c>
      <c r="L91" s="24">
        <f>IFERROR('Cash Flow Data'!N20,0)</f>
        <v>3</v>
      </c>
    </row>
    <row r="92" spans="2:12" x14ac:dyDescent="0.3">
      <c r="B92" t="s">
        <v>100</v>
      </c>
      <c r="C92" s="24">
        <f>IFERROR('Cash Flow Data'!E21,0)</f>
        <v>0</v>
      </c>
      <c r="D92" s="24">
        <f>IFERROR('Cash Flow Data'!F21,0)</f>
        <v>0</v>
      </c>
      <c r="E92" s="24">
        <f>IFERROR('Cash Flow Data'!G21,0)</f>
        <v>0</v>
      </c>
      <c r="F92" s="24">
        <f>IFERROR('Cash Flow Data'!H21,0)</f>
        <v>0</v>
      </c>
      <c r="G92" s="24">
        <f>IFERROR('Cash Flow Data'!I21,0)</f>
        <v>0</v>
      </c>
      <c r="H92" s="24">
        <f>IFERROR('Cash Flow Data'!J21,0)</f>
        <v>0</v>
      </c>
      <c r="I92" s="24">
        <f>IFERROR('Cash Flow Data'!K21,0)</f>
        <v>0</v>
      </c>
      <c r="J92" s="24">
        <f>IFERROR('Cash Flow Data'!L21,0)</f>
        <v>0</v>
      </c>
      <c r="K92" s="24">
        <f>IFERROR('Cash Flow Data'!M21,0)</f>
        <v>0</v>
      </c>
      <c r="L92" s="24">
        <f>IFERROR('Cash Flow Data'!N21,0)</f>
        <v>0</v>
      </c>
    </row>
    <row r="93" spans="2:12" x14ac:dyDescent="0.3">
      <c r="B93" t="s">
        <v>101</v>
      </c>
      <c r="C93" s="24">
        <f>IFERROR('Cash Flow Data'!E22,0)</f>
        <v>0</v>
      </c>
      <c r="D93" s="24">
        <f>IFERROR('Cash Flow Data'!F22,0)</f>
        <v>0</v>
      </c>
      <c r="E93" s="24">
        <f>IFERROR('Cash Flow Data'!G22,0)</f>
        <v>0</v>
      </c>
      <c r="F93" s="24">
        <f>IFERROR('Cash Flow Data'!H22,0)</f>
        <v>0</v>
      </c>
      <c r="G93" s="24">
        <f>IFERROR('Cash Flow Data'!I22,0)</f>
        <v>0</v>
      </c>
      <c r="H93" s="24">
        <f>IFERROR('Cash Flow Data'!J22,0)</f>
        <v>0</v>
      </c>
      <c r="I93" s="24">
        <f>IFERROR('Cash Flow Data'!K22,0)</f>
        <v>0</v>
      </c>
      <c r="J93" s="24">
        <f>IFERROR('Cash Flow Data'!L22,0)</f>
        <v>0</v>
      </c>
      <c r="K93" s="24">
        <f>IFERROR('Cash Flow Data'!M22,0)</f>
        <v>0</v>
      </c>
      <c r="L93" s="24">
        <f>IFERROR('Cash Flow Data'!N22,0)</f>
        <v>0</v>
      </c>
    </row>
    <row r="94" spans="2:12" x14ac:dyDescent="0.3">
      <c r="B94" t="s">
        <v>102</v>
      </c>
      <c r="C94" s="24">
        <f>IFERROR('Cash Flow Data'!E23,0)</f>
        <v>200</v>
      </c>
      <c r="D94" s="24">
        <f>IFERROR('Cash Flow Data'!F23,0)</f>
        <v>161</v>
      </c>
      <c r="E94" s="24">
        <f>IFERROR('Cash Flow Data'!G23,0)</f>
        <v>20</v>
      </c>
      <c r="F94" s="24">
        <f>IFERROR('Cash Flow Data'!H23,0)</f>
        <v>73</v>
      </c>
      <c r="G94" s="24">
        <f>IFERROR('Cash Flow Data'!I23,0)</f>
        <v>0</v>
      </c>
      <c r="H94" s="24">
        <f>IFERROR('Cash Flow Data'!J23,0)</f>
        <v>0</v>
      </c>
      <c r="I94" s="24">
        <f>IFERROR('Cash Flow Data'!K23,0)</f>
        <v>0</v>
      </c>
      <c r="J94" s="24">
        <f>IFERROR('Cash Flow Data'!L23,0)</f>
        <v>0</v>
      </c>
      <c r="K94" s="24">
        <f>IFERROR('Cash Flow Data'!M23,0)</f>
        <v>0</v>
      </c>
      <c r="L94" s="24">
        <f>IFERROR('Cash Flow Data'!N23,0)</f>
        <v>0</v>
      </c>
    </row>
    <row r="95" spans="2:12" x14ac:dyDescent="0.3">
      <c r="B95" t="s">
        <v>103</v>
      </c>
      <c r="C95" s="24">
        <f>IFERROR('Cash Flow Data'!E24,0)</f>
        <v>0</v>
      </c>
      <c r="D95" s="24">
        <f>IFERROR('Cash Flow Data'!F24,0)</f>
        <v>0</v>
      </c>
      <c r="E95" s="24">
        <f>IFERROR('Cash Flow Data'!G24,0)</f>
        <v>0</v>
      </c>
      <c r="F95" s="24">
        <f>IFERROR('Cash Flow Data'!H24,0)</f>
        <v>0</v>
      </c>
      <c r="G95" s="24">
        <f>IFERROR('Cash Flow Data'!I24,0)</f>
        <v>0</v>
      </c>
      <c r="H95" s="24">
        <f>IFERROR('Cash Flow Data'!J24,0)</f>
        <v>0</v>
      </c>
      <c r="I95" s="24">
        <f>IFERROR('Cash Flow Data'!K24,0)</f>
        <v>0</v>
      </c>
      <c r="J95" s="24">
        <f>IFERROR('Cash Flow Data'!L24,0)</f>
        <v>0</v>
      </c>
      <c r="K95" s="24">
        <f>IFERROR('Cash Flow Data'!M24,0)</f>
        <v>-334</v>
      </c>
      <c r="L95" s="24">
        <f>IFERROR('Cash Flow Data'!N24,0)</f>
        <v>0</v>
      </c>
    </row>
    <row r="96" spans="2:12" x14ac:dyDescent="0.3">
      <c r="B96" t="s">
        <v>104</v>
      </c>
      <c r="C96" s="24">
        <f>IFERROR('Cash Flow Data'!E25,0)</f>
        <v>-367</v>
      </c>
      <c r="D96" s="24">
        <f>IFERROR('Cash Flow Data'!F25,0)</f>
        <v>-351</v>
      </c>
      <c r="E96" s="24">
        <f>IFERROR('Cash Flow Data'!G25,0)</f>
        <v>597</v>
      </c>
      <c r="F96" s="24">
        <f>IFERROR('Cash Flow Data'!H25,0)</f>
        <v>-1612</v>
      </c>
      <c r="G96" s="24">
        <f>IFERROR('Cash Flow Data'!I25,0)</f>
        <v>-300</v>
      </c>
      <c r="H96" s="24">
        <f>IFERROR('Cash Flow Data'!J25,0)</f>
        <v>649</v>
      </c>
      <c r="I96" s="24">
        <f>IFERROR('Cash Flow Data'!K25,0)</f>
        <v>3994</v>
      </c>
      <c r="J96" s="24">
        <f>IFERROR('Cash Flow Data'!L25,0)</f>
        <v>-101</v>
      </c>
      <c r="K96" s="24">
        <f>IFERROR('Cash Flow Data'!M25,0)</f>
        <v>-1213</v>
      </c>
      <c r="L96" s="24">
        <f>IFERROR('Cash Flow Data'!N25,0)</f>
        <v>-2804</v>
      </c>
    </row>
    <row r="97" spans="2:12" x14ac:dyDescent="0.3">
      <c r="B97" t="s">
        <v>105</v>
      </c>
      <c r="C97" s="24">
        <f>IFERROR('Cash Flow Data'!E26,0)</f>
        <v>-3462</v>
      </c>
      <c r="D97" s="24">
        <f>IFERROR('Cash Flow Data'!F26,0)</f>
        <v>-3864</v>
      </c>
      <c r="E97" s="24">
        <f>IFERROR('Cash Flow Data'!G26,0)</f>
        <v>-4214</v>
      </c>
      <c r="F97" s="24">
        <f>IFERROR('Cash Flow Data'!H26,0)</f>
        <v>-4975</v>
      </c>
      <c r="G97" s="24">
        <f>IFERROR('Cash Flow Data'!I26,0)</f>
        <v>-5390</v>
      </c>
      <c r="H97" s="24">
        <f>IFERROR('Cash Flow Data'!J26,0)</f>
        <v>-6819</v>
      </c>
      <c r="I97" s="24">
        <f>IFERROR('Cash Flow Data'!K26,0)</f>
        <v>-9309</v>
      </c>
      <c r="J97" s="24">
        <f>IFERROR('Cash Flow Data'!L26,0)</f>
        <v>-8015</v>
      </c>
      <c r="K97" s="24">
        <f>IFERROR('Cash Flow Data'!M26,0)</f>
        <v>-8953</v>
      </c>
      <c r="L97" s="24">
        <f>IFERROR('Cash Flow Data'!N26,0)</f>
        <v>-10034</v>
      </c>
    </row>
    <row r="98" spans="2:12" x14ac:dyDescent="0.3">
      <c r="B98" s="34" t="s">
        <v>117</v>
      </c>
      <c r="C98" s="31">
        <f>SUM(C86:C97)</f>
        <v>-3325</v>
      </c>
      <c r="D98" s="31">
        <f t="shared" ref="D98:L98" si="25">SUM(D86:D97)</f>
        <v>-4146</v>
      </c>
      <c r="E98" s="31">
        <f t="shared" si="25"/>
        <v>-5387</v>
      </c>
      <c r="F98" s="31">
        <f t="shared" si="25"/>
        <v>-6038</v>
      </c>
      <c r="G98" s="31">
        <f t="shared" si="25"/>
        <v>-5828</v>
      </c>
      <c r="H98" s="31">
        <f t="shared" si="25"/>
        <v>-5028</v>
      </c>
      <c r="I98" s="31">
        <f t="shared" si="25"/>
        <v>-10537</v>
      </c>
      <c r="J98" s="31">
        <f t="shared" si="25"/>
        <v>-9743</v>
      </c>
      <c r="K98" s="31">
        <f t="shared" si="25"/>
        <v>-10437</v>
      </c>
      <c r="L98" s="31">
        <f t="shared" si="25"/>
        <v>-15358</v>
      </c>
    </row>
    <row r="100" spans="2:12" x14ac:dyDescent="0.3">
      <c r="B100" s="12" t="s">
        <v>121</v>
      </c>
    </row>
    <row r="101" spans="2:12" x14ac:dyDescent="0.3">
      <c r="B101" t="s">
        <v>107</v>
      </c>
      <c r="C101" s="24">
        <f>IFERROR('Cash Flow Data'!E27,0)</f>
        <v>2</v>
      </c>
      <c r="D101" s="24">
        <f>IFERROR('Cash Flow Data'!F27,0)</f>
        <v>0</v>
      </c>
      <c r="E101" s="24">
        <f>IFERROR('Cash Flow Data'!G27,0)</f>
        <v>0</v>
      </c>
      <c r="F101" s="24">
        <f>IFERROR('Cash Flow Data'!H27,0)</f>
        <v>0</v>
      </c>
      <c r="G101" s="24">
        <f>IFERROR('Cash Flow Data'!I27,0)</f>
        <v>0</v>
      </c>
      <c r="H101" s="24">
        <f>IFERROR('Cash Flow Data'!J27,0)</f>
        <v>0</v>
      </c>
      <c r="I101" s="24">
        <f>IFERROR('Cash Flow Data'!K27,0)</f>
        <v>0</v>
      </c>
      <c r="J101" s="24">
        <f>IFERROR('Cash Flow Data'!L27,0)</f>
        <v>0</v>
      </c>
      <c r="K101" s="24">
        <f>IFERROR('Cash Flow Data'!M27,0)</f>
        <v>0</v>
      </c>
      <c r="L101" s="24">
        <f>IFERROR('Cash Flow Data'!N27,0)</f>
        <v>0</v>
      </c>
    </row>
    <row r="102" spans="2:12" x14ac:dyDescent="0.3">
      <c r="B102" t="s">
        <v>108</v>
      </c>
      <c r="C102" s="24">
        <f>IFERROR('Cash Flow Data'!E28,0)</f>
        <v>0</v>
      </c>
      <c r="D102" s="24">
        <f>IFERROR('Cash Flow Data'!F28,0)</f>
        <v>177</v>
      </c>
      <c r="E102" s="24">
        <f>IFERROR('Cash Flow Data'!G28,0)</f>
        <v>460</v>
      </c>
      <c r="F102" s="24">
        <f>IFERROR('Cash Flow Data'!H28,0)</f>
        <v>0</v>
      </c>
      <c r="G102" s="24">
        <f>IFERROR('Cash Flow Data'!I28,0)</f>
        <v>99</v>
      </c>
      <c r="H102" s="24">
        <f>IFERROR('Cash Flow Data'!J28,0)</f>
        <v>0</v>
      </c>
      <c r="I102" s="24">
        <f>IFERROR('Cash Flow Data'!K28,0)</f>
        <v>188</v>
      </c>
      <c r="J102" s="24">
        <f>IFERROR('Cash Flow Data'!L28,0)</f>
        <v>55</v>
      </c>
      <c r="K102" s="24">
        <f>IFERROR('Cash Flow Data'!M28,0)</f>
        <v>286</v>
      </c>
      <c r="L102" s="24">
        <f>IFERROR('Cash Flow Data'!N28,0)</f>
        <v>0</v>
      </c>
    </row>
    <row r="103" spans="2:12" x14ac:dyDescent="0.3">
      <c r="B103" t="s">
        <v>109</v>
      </c>
      <c r="C103" s="24">
        <f>IFERROR('Cash Flow Data'!E29,0)</f>
        <v>-3</v>
      </c>
      <c r="D103" s="24">
        <f>IFERROR('Cash Flow Data'!F29,0)</f>
        <v>0</v>
      </c>
      <c r="E103" s="24">
        <f>IFERROR('Cash Flow Data'!G29,0)</f>
        <v>-360</v>
      </c>
      <c r="F103" s="24">
        <f>IFERROR('Cash Flow Data'!H29,0)</f>
        <v>-277</v>
      </c>
      <c r="G103" s="24">
        <f>IFERROR('Cash Flow Data'!I29,0)</f>
        <v>0</v>
      </c>
      <c r="H103" s="24">
        <f>IFERROR('Cash Flow Data'!J29,0)</f>
        <v>-99</v>
      </c>
      <c r="I103" s="24">
        <f>IFERROR('Cash Flow Data'!K29,0)</f>
        <v>-188</v>
      </c>
      <c r="J103" s="24">
        <f>IFERROR('Cash Flow Data'!L29,0)</f>
        <v>-55</v>
      </c>
      <c r="K103" s="24">
        <f>IFERROR('Cash Flow Data'!M29,0)</f>
        <v>-208</v>
      </c>
      <c r="L103" s="24">
        <f>IFERROR('Cash Flow Data'!N29,0)</f>
        <v>-85</v>
      </c>
    </row>
    <row r="104" spans="2:12" x14ac:dyDescent="0.3">
      <c r="B104" t="s">
        <v>110</v>
      </c>
      <c r="C104" s="24">
        <f>IFERROR('Cash Flow Data'!E30,0)</f>
        <v>-18</v>
      </c>
      <c r="D104" s="24">
        <f>IFERROR('Cash Flow Data'!F30,0)</f>
        <v>-2</v>
      </c>
      <c r="E104" s="24">
        <f>IFERROR('Cash Flow Data'!G30,0)</f>
        <v>-14</v>
      </c>
      <c r="F104" s="24">
        <f>IFERROR('Cash Flow Data'!H30,0)</f>
        <v>-6</v>
      </c>
      <c r="G104" s="24">
        <f>IFERROR('Cash Flow Data'!I30,0)</f>
        <v>-7</v>
      </c>
      <c r="H104" s="24">
        <f>IFERROR('Cash Flow Data'!J30,0)</f>
        <v>-90</v>
      </c>
      <c r="I104" s="24">
        <f>IFERROR('Cash Flow Data'!K30,0)</f>
        <v>-92</v>
      </c>
      <c r="J104" s="24">
        <f>IFERROR('Cash Flow Data'!L30,0)</f>
        <v>-82</v>
      </c>
      <c r="K104" s="24">
        <f>IFERROR('Cash Flow Data'!M30,0)</f>
        <v>-88</v>
      </c>
      <c r="L104" s="24">
        <f>IFERROR('Cash Flow Data'!N30,0)</f>
        <v>-110</v>
      </c>
    </row>
    <row r="105" spans="2:12" x14ac:dyDescent="0.3">
      <c r="B105" t="s">
        <v>111</v>
      </c>
      <c r="C105" s="24">
        <f>IFERROR('Cash Flow Data'!E31,0)</f>
        <v>-2912</v>
      </c>
      <c r="D105" s="24">
        <f>IFERROR('Cash Flow Data'!F31,0)</f>
        <v>-3354</v>
      </c>
      <c r="E105" s="24">
        <f>IFERROR('Cash Flow Data'!G31,0)</f>
        <v>-3572</v>
      </c>
      <c r="F105" s="24">
        <f>IFERROR('Cash Flow Data'!H31,0)</f>
        <v>-3911</v>
      </c>
      <c r="G105" s="24">
        <f>IFERROR('Cash Flow Data'!I31,0)</f>
        <v>-4554</v>
      </c>
      <c r="H105" s="24">
        <f>IFERROR('Cash Flow Data'!J31,0)</f>
        <v>-5196</v>
      </c>
      <c r="I105" s="24">
        <f>IFERROR('Cash Flow Data'!K31,0)</f>
        <v>-8811</v>
      </c>
      <c r="J105" s="24">
        <f>IFERROR('Cash Flow Data'!L31,0)</f>
        <v>-7526</v>
      </c>
      <c r="K105" s="24">
        <f>IFERROR('Cash Flow Data'!M31,0)</f>
        <v>-8474</v>
      </c>
      <c r="L105" s="24">
        <f>IFERROR('Cash Flow Data'!N31,0)</f>
        <v>-9416</v>
      </c>
    </row>
    <row r="106" spans="2:12" x14ac:dyDescent="0.3">
      <c r="B106" t="s">
        <v>112</v>
      </c>
      <c r="C106" s="24">
        <f>IFERROR('Cash Flow Data'!E32,0)</f>
        <v>0</v>
      </c>
      <c r="D106" s="24">
        <f>IFERROR('Cash Flow Data'!F32,0)</f>
        <v>0</v>
      </c>
      <c r="E106" s="24">
        <f>IFERROR('Cash Flow Data'!G32,0)</f>
        <v>0</v>
      </c>
      <c r="F106" s="24">
        <f>IFERROR('Cash Flow Data'!H32,0)</f>
        <v>0</v>
      </c>
      <c r="G106" s="24">
        <f>IFERROR('Cash Flow Data'!I32,0)</f>
        <v>0</v>
      </c>
      <c r="H106" s="24">
        <f>IFERROR('Cash Flow Data'!J32,0)</f>
        <v>-373</v>
      </c>
      <c r="I106" s="24">
        <f>IFERROR('Cash Flow Data'!K32,0)</f>
        <v>-406</v>
      </c>
      <c r="J106" s="24">
        <f>IFERROR('Cash Flow Data'!L32,0)</f>
        <v>-407</v>
      </c>
      <c r="K106" s="24">
        <f>IFERROR('Cash Flow Data'!M32,0)</f>
        <v>-467</v>
      </c>
      <c r="L106" s="24">
        <f>IFERROR('Cash Flow Data'!N32,0)</f>
        <v>-423</v>
      </c>
    </row>
    <row r="107" spans="2:12" x14ac:dyDescent="0.3">
      <c r="B107" t="s">
        <v>113</v>
      </c>
      <c r="C107" s="24">
        <f>IFERROR('Cash Flow Data'!E33,0)</f>
        <v>-533</v>
      </c>
      <c r="D107" s="24">
        <f>IFERROR('Cash Flow Data'!F33,0)</f>
        <v>-685</v>
      </c>
      <c r="E107" s="24">
        <f>IFERROR('Cash Flow Data'!G33,0)</f>
        <v>-728</v>
      </c>
      <c r="F107" s="24">
        <f>IFERROR('Cash Flow Data'!H33,0)</f>
        <v>-781</v>
      </c>
      <c r="G107" s="24">
        <f>IFERROR('Cash Flow Data'!I33,0)</f>
        <v>-928</v>
      </c>
      <c r="H107" s="24">
        <f>IFERROR('Cash Flow Data'!J33,0)</f>
        <v>-1061</v>
      </c>
      <c r="I107" s="24">
        <f>IFERROR('Cash Flow Data'!K33,0)</f>
        <v>0</v>
      </c>
      <c r="J107" s="24">
        <f>IFERROR('Cash Flow Data'!L33,0)</f>
        <v>0</v>
      </c>
      <c r="K107" s="24">
        <f>IFERROR('Cash Flow Data'!M33,0)</f>
        <v>-2</v>
      </c>
      <c r="L107" s="24">
        <f>IFERROR('Cash Flow Data'!N33,0)</f>
        <v>0</v>
      </c>
    </row>
    <row r="108" spans="2:12" x14ac:dyDescent="0.3">
      <c r="B108" t="s">
        <v>114</v>
      </c>
      <c r="C108" s="24">
        <f>IFERROR('Cash Flow Data'!E34,0)</f>
        <v>-33</v>
      </c>
      <c r="D108" s="24">
        <f>IFERROR('Cash Flow Data'!F34,0)</f>
        <v>25</v>
      </c>
      <c r="E108" s="24">
        <f>IFERROR('Cash Flow Data'!G34,0)</f>
        <v>-202</v>
      </c>
      <c r="F108" s="24">
        <f>IFERROR('Cash Flow Data'!H34,0)</f>
        <v>21</v>
      </c>
      <c r="G108" s="24">
        <f>IFERROR('Cash Flow Data'!I34,0)</f>
        <v>-28</v>
      </c>
      <c r="H108" s="24">
        <f>IFERROR('Cash Flow Data'!J34,0)</f>
        <v>2595</v>
      </c>
      <c r="I108" s="24">
        <f>IFERROR('Cash Flow Data'!K34,0)</f>
        <v>-1374</v>
      </c>
      <c r="J108" s="24">
        <f>IFERROR('Cash Flow Data'!L34,0)</f>
        <v>-695</v>
      </c>
      <c r="K108" s="24">
        <f>IFERROR('Cash Flow Data'!M34,0)</f>
        <v>-446</v>
      </c>
      <c r="L108" s="24">
        <f>IFERROR('Cash Flow Data'!N34,0)</f>
        <v>111</v>
      </c>
    </row>
    <row r="109" spans="2:12" x14ac:dyDescent="0.3">
      <c r="B109" t="s">
        <v>115</v>
      </c>
      <c r="C109" s="24">
        <f>IFERROR('Cash Flow Data'!E35,0)</f>
        <v>-2499</v>
      </c>
      <c r="D109" s="24">
        <f>IFERROR('Cash Flow Data'!F35,0)</f>
        <v>4277</v>
      </c>
      <c r="E109" s="24">
        <f>IFERROR('Cash Flow Data'!G35,0)</f>
        <v>4500</v>
      </c>
      <c r="F109" s="24">
        <f>IFERROR('Cash Flow Data'!H35,0)</f>
        <v>-2589</v>
      </c>
      <c r="G109" s="24">
        <f>IFERROR('Cash Flow Data'!I35,0)</f>
        <v>-3167</v>
      </c>
      <c r="H109" s="24">
        <f>IFERROR('Cash Flow Data'!J35,0)</f>
        <v>730</v>
      </c>
      <c r="I109" s="24">
        <f>IFERROR('Cash Flow Data'!K35,0)</f>
        <v>6843</v>
      </c>
      <c r="J109" s="24">
        <f>IFERROR('Cash Flow Data'!L35,0)</f>
        <v>-3092</v>
      </c>
      <c r="K109" s="24">
        <f>IFERROR('Cash Flow Data'!M35,0)</f>
        <v>13232</v>
      </c>
      <c r="L109" s="24">
        <f>IFERROR('Cash Flow Data'!N35,0)</f>
        <v>6459</v>
      </c>
    </row>
    <row r="110" spans="2:12" x14ac:dyDescent="0.3">
      <c r="B110" s="34" t="s">
        <v>118</v>
      </c>
      <c r="C110" s="31">
        <f>SUM(C101:C109)</f>
        <v>-5996</v>
      </c>
      <c r="D110" s="31">
        <f t="shared" ref="D110:L110" si="26">SUM(D101:D109)</f>
        <v>438</v>
      </c>
      <c r="E110" s="31">
        <f t="shared" si="26"/>
        <v>84</v>
      </c>
      <c r="F110" s="31">
        <f t="shared" si="26"/>
        <v>-7543</v>
      </c>
      <c r="G110" s="31">
        <f t="shared" si="26"/>
        <v>-8585</v>
      </c>
      <c r="H110" s="31">
        <f t="shared" si="26"/>
        <v>-3494</v>
      </c>
      <c r="I110" s="31">
        <f t="shared" si="26"/>
        <v>-3840</v>
      </c>
      <c r="J110" s="31">
        <f t="shared" si="26"/>
        <v>-11802</v>
      </c>
      <c r="K110" s="31">
        <f t="shared" si="26"/>
        <v>3833</v>
      </c>
      <c r="L110" s="31">
        <f t="shared" si="26"/>
        <v>-3464</v>
      </c>
    </row>
    <row r="112" spans="2:12" x14ac:dyDescent="0.3">
      <c r="B112" s="34" t="s">
        <v>3</v>
      </c>
      <c r="C112" s="31">
        <f>IFERROR(C110+C98+C83,0)</f>
        <v>-6358</v>
      </c>
      <c r="D112" s="31">
        <f t="shared" ref="D112:L112" si="27">IFERROR(D110+D98+D83,0)</f>
        <v>390</v>
      </c>
      <c r="E112" s="31">
        <f t="shared" si="27"/>
        <v>528</v>
      </c>
      <c r="F112" s="31">
        <f t="shared" si="27"/>
        <v>-6688</v>
      </c>
      <c r="G112" s="31">
        <f t="shared" si="27"/>
        <v>-8955</v>
      </c>
      <c r="H112" s="31">
        <f t="shared" si="27"/>
        <v>-482</v>
      </c>
      <c r="I112" s="31">
        <f t="shared" si="27"/>
        <v>-5314</v>
      </c>
      <c r="J112" s="31">
        <f t="shared" si="27"/>
        <v>-13500</v>
      </c>
      <c r="K112" s="31">
        <f t="shared" si="27"/>
        <v>2427</v>
      </c>
      <c r="L112" s="31">
        <f t="shared" si="27"/>
        <v>-2040</v>
      </c>
    </row>
  </sheetData>
  <mergeCells count="1">
    <mergeCell ref="B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F73F-C2AE-4EEC-A552-CE8A1B58D010}">
  <sheetPr>
    <tabColor rgb="FF002060"/>
  </sheetPr>
  <dimension ref="B2:O41"/>
  <sheetViews>
    <sheetView workbookViewId="0">
      <selection activeCell="B2" sqref="B2:O3"/>
    </sheetView>
  </sheetViews>
  <sheetFormatPr defaultRowHeight="14.4" x14ac:dyDescent="0.3"/>
  <cols>
    <col min="1" max="1" width="1.88671875" customWidth="1"/>
    <col min="2" max="2" width="26.77734375" bestFit="1" customWidth="1"/>
    <col min="3" max="3" width="10" bestFit="1" customWidth="1"/>
  </cols>
  <sheetData>
    <row r="2" spans="2:15" x14ac:dyDescent="0.3">
      <c r="B2" s="51" t="str">
        <f>"RATIO ANALYSIS - "&amp;'Data Sheet'!B1</f>
        <v>RATIO ANALYSIS - HINDUSTAN UNILEVER LTD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2:15" x14ac:dyDescent="0.3">
      <c r="B3" s="52" t="s">
        <v>56</v>
      </c>
      <c r="C3" s="53">
        <f>'Data Sheet'!B16</f>
        <v>42094</v>
      </c>
      <c r="D3" s="53">
        <f>'Data Sheet'!C16</f>
        <v>42460</v>
      </c>
      <c r="E3" s="53">
        <f>'Data Sheet'!D16</f>
        <v>42825</v>
      </c>
      <c r="F3" s="53">
        <f>'Data Sheet'!E16</f>
        <v>43190</v>
      </c>
      <c r="G3" s="53">
        <f>'Data Sheet'!F16</f>
        <v>43555</v>
      </c>
      <c r="H3" s="53">
        <f>'Data Sheet'!G16</f>
        <v>43921</v>
      </c>
      <c r="I3" s="53">
        <f>'Data Sheet'!H16</f>
        <v>44286</v>
      </c>
      <c r="J3" s="53">
        <f>'Data Sheet'!I16</f>
        <v>44651</v>
      </c>
      <c r="K3" s="53">
        <f>'Data Sheet'!J16</f>
        <v>45016</v>
      </c>
      <c r="L3" s="53">
        <f>'Data Sheet'!K16</f>
        <v>45382</v>
      </c>
      <c r="M3" s="54" t="s">
        <v>128</v>
      </c>
      <c r="N3" s="54" t="s">
        <v>129</v>
      </c>
      <c r="O3" s="54" t="s">
        <v>130</v>
      </c>
    </row>
    <row r="4" spans="2:15" ht="15" thickBot="1" x14ac:dyDescent="0.35"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2:15" ht="15" thickTop="1" x14ac:dyDescent="0.3">
      <c r="B5" t="s">
        <v>131</v>
      </c>
      <c r="D5" s="36">
        <f>IFERROR('Historical FS'!D7,0)</f>
        <v>6.6873742461808217E-3</v>
      </c>
      <c r="E5" s="36">
        <f>IFERROR('Historical FS'!E7,0)</f>
        <v>3.03237432424035E-2</v>
      </c>
      <c r="F5" s="36">
        <f>IFERROR('Historical FS'!F7,0)</f>
        <v>7.1859357095470644E-2</v>
      </c>
      <c r="G5" s="36">
        <f>IFERROR('Historical FS'!G7,0)</f>
        <v>0.1059220706147137</v>
      </c>
      <c r="H5" s="36">
        <f>IFERROR('Historical FS'!H7,0)</f>
        <v>1.2032561689137689E-2</v>
      </c>
      <c r="I5" s="36">
        <f>IFERROR('Historical FS'!I7,0)</f>
        <v>0.18211296282331646</v>
      </c>
      <c r="J5" s="36">
        <f>IFERROR('Historical FS'!J7,0)</f>
        <v>0.11520796121459553</v>
      </c>
      <c r="K5" s="36">
        <f>IFERROR('Historical FS'!K7,0)</f>
        <v>0.15509285741524614</v>
      </c>
      <c r="L5" s="36">
        <f>IFERROR('Historical FS'!L7,0)</f>
        <v>2.1723341036645749E-2</v>
      </c>
      <c r="N5" s="38">
        <f>IFERROR(AVERAGE(D5:L5),0)</f>
        <v>7.7884692153078916E-2</v>
      </c>
      <c r="O5" s="38">
        <f>IFERROR(MEDIAN(C5:L5),0)</f>
        <v>7.1859357095470644E-2</v>
      </c>
    </row>
    <row r="6" spans="2:15" x14ac:dyDescent="0.3">
      <c r="B6" t="s">
        <v>132</v>
      </c>
      <c r="D6" s="36">
        <f>IFERROR('Historical FS'!D18/'Historical FS'!C18-1,0)</f>
        <v>9.1932998547784361E-2</v>
      </c>
      <c r="E6" s="36">
        <f>IFERROR('Historical FS'!E18/'Historical FS'!D18-1,0)</f>
        <v>7.0727580372250465E-2</v>
      </c>
      <c r="F6" s="36">
        <f>IFERROR('Historical FS'!F18/'Historical FS'!E18-1,0)</f>
        <v>0.1850505689001265</v>
      </c>
      <c r="G6" s="36">
        <f>IFERROR('Historical FS'!G18/'Historical FS'!F18-1,0)</f>
        <v>0.1841578877183625</v>
      </c>
      <c r="H6" s="36">
        <f>IFERROR('Historical FS'!H18/'Historical FS'!G18-1,0)</f>
        <v>0.11047297297297298</v>
      </c>
      <c r="I6" s="36">
        <f>IFERROR('Historical FS'!I18/'Historical FS'!H18-1,0)</f>
        <v>0.1789879322583916</v>
      </c>
      <c r="J6" s="36">
        <f>IFERROR('Historical FS'!J18/'Historical FS'!I18-1,0)</f>
        <v>0.10588336487183891</v>
      </c>
      <c r="K6" s="36">
        <f>IFERROR('Historical FS'!K18/'Historical FS'!J18-1,0)</f>
        <v>0.10033444816053505</v>
      </c>
      <c r="L6" s="36">
        <f>IFERROR('Historical FS'!L18/'Historical FS'!K18-1,0)</f>
        <v>3.6191418675337594E-2</v>
      </c>
      <c r="N6" s="38">
        <f t="shared" ref="N6:N9" si="0">IFERROR(AVERAGE(D6:L6),0)</f>
        <v>0.1181932413864</v>
      </c>
      <c r="O6" s="38">
        <f t="shared" ref="O6:O40" si="1">IFERROR(MEDIAN(C6:L6),0)</f>
        <v>0.10588336487183891</v>
      </c>
    </row>
    <row r="7" spans="2:15" x14ac:dyDescent="0.3">
      <c r="B7" t="s">
        <v>133</v>
      </c>
      <c r="D7" s="36">
        <f>IFERROR('Historical FS'!D27/'Historical FS'!C27-1,0)</f>
        <v>9.1742091893367794E-2</v>
      </c>
      <c r="E7" s="36">
        <f>IFERROR('Historical FS'!E27/'Historical FS'!D27-1,0)</f>
        <v>6.1004138923879792E-2</v>
      </c>
      <c r="F7" s="36">
        <f>IFERROR('Historical FS'!F27/'Historical FS'!E27-1,0)</f>
        <v>0.18368385345997296</v>
      </c>
      <c r="G7" s="36">
        <f>IFERROR('Historical FS'!G27/'Historical FS'!F27-1,0)</f>
        <v>0.19143143716864874</v>
      </c>
      <c r="H7" s="36">
        <f>IFERROR('Historical FS'!H27/'Historical FS'!G27-1,0)</f>
        <v>6.5423932651833994E-2</v>
      </c>
      <c r="I7" s="36">
        <f>IFERROR('Historical FS'!I27/'Historical FS'!H27-1,0)</f>
        <v>0.19110509086804384</v>
      </c>
      <c r="J7" s="36">
        <f>IFERROR('Historical FS'!J27/'Historical FS'!I27-1,0)</f>
        <v>0.11504927975739188</v>
      </c>
      <c r="K7" s="36">
        <f>IFERROR('Historical FS'!K27/'Historical FS'!J27-1,0)</f>
        <v>0.10572836987931322</v>
      </c>
      <c r="L7" s="36">
        <f>IFERROR('Historical FS'!L27/'Historical FS'!K27-1,0)</f>
        <v>3.3282090699461975E-2</v>
      </c>
      <c r="N7" s="38">
        <f t="shared" si="0"/>
        <v>0.11538336503354601</v>
      </c>
      <c r="O7" s="38">
        <f t="shared" si="1"/>
        <v>0.10572836987931322</v>
      </c>
    </row>
    <row r="8" spans="2:15" x14ac:dyDescent="0.3">
      <c r="B8" t="s">
        <v>134</v>
      </c>
      <c r="D8" s="36">
        <f>IFERROR('Historical FS'!D36/'Historical FS'!C36-1,0)</f>
        <v>0.17155159462077174</v>
      </c>
      <c r="E8" s="36">
        <f>IFERROR('Historical FS'!E36/'Historical FS'!D36-1,0)</f>
        <v>5.9754433833560716E-2</v>
      </c>
      <c r="F8" s="36">
        <f>IFERROR('Historical FS'!F36/'Historical FS'!E36-1,0)</f>
        <v>0.2548918640576725</v>
      </c>
      <c r="G8" s="36">
        <f>IFERROR('Historical FS'!G36/'Historical FS'!F36-1,0)</f>
        <v>0.17726713171932706</v>
      </c>
      <c r="H8" s="36">
        <f>IFERROR('Historical FS'!H36/'Historical FS'!G36-1,0)</f>
        <v>0.10352039037992333</v>
      </c>
      <c r="I8" s="36">
        <f>IFERROR('Historical FS'!I36/'Historical FS'!H36-1,0)</f>
        <v>0.23641819330385339</v>
      </c>
      <c r="J8" s="36">
        <f>IFERROR('Historical FS'!J36/'Historical FS'!I36-1,0)</f>
        <v>0.10780431728190054</v>
      </c>
      <c r="K8" s="36">
        <f>IFERROR('Historical FS'!K36/'Historical FS'!J36-1,0)</f>
        <v>0.11783696529459231</v>
      </c>
      <c r="L8" s="36">
        <f>IFERROR('Historical FS'!L36/'Historical FS'!K36-1,0)</f>
        <v>-2.372356884992266E-2</v>
      </c>
      <c r="N8" s="38">
        <f t="shared" si="0"/>
        <v>0.13392459129351988</v>
      </c>
      <c r="O8" s="38">
        <f t="shared" si="1"/>
        <v>0.11783696529459231</v>
      </c>
    </row>
    <row r="9" spans="2:15" x14ac:dyDescent="0.3">
      <c r="B9" s="35" t="s">
        <v>135</v>
      </c>
      <c r="C9" s="35"/>
      <c r="D9" s="37">
        <f>IFERROR('Historical FS'!D44/'Historical FS'!C44-1,0)</f>
        <v>6.4744211839733889E-2</v>
      </c>
      <c r="E9" s="37">
        <f>IFERROR('Historical FS'!E44/'Historical FS'!D44-1,0)</f>
        <v>6.2303631659196945E-2</v>
      </c>
      <c r="F9" s="37">
        <f>IFERROR('Historical FS'!F44/'Historical FS'!E44-1,0)</f>
        <v>0.17636188224423521</v>
      </c>
      <c r="G9" s="37">
        <f>IFERROR('Historical FS'!G44/'Historical FS'!F44-1,0)</f>
        <v>9.989836928904694E-2</v>
      </c>
      <c r="H9" s="37">
        <f>IFERROR('Historical FS'!H44/'Historical FS'!G44-1,0)</f>
        <v>0.13631114358664265</v>
      </c>
      <c r="I9" s="37">
        <f>IFERROR('Historical FS'!I44/'Historical FS'!H44-1,0)</f>
        <v>0.62387640449438186</v>
      </c>
      <c r="J9" s="37">
        <f>IFERROR('Historical FS'!J44/'Historical FS'!I44-1,0)</f>
        <v>-0.16049382716049365</v>
      </c>
      <c r="K9" s="37">
        <f>IFERROR('Historical FS'!K44/'Historical FS'!J44-1,0)</f>
        <v>0.14705882352941169</v>
      </c>
      <c r="L9" s="37">
        <f>IFERROR('Historical FS'!L44/'Historical FS'!K44-1,0)</f>
        <v>7.6923076923076872E-2</v>
      </c>
      <c r="M9" s="45"/>
      <c r="N9" s="38">
        <f t="shared" si="0"/>
        <v>0.13633152404502583</v>
      </c>
      <c r="O9" s="38">
        <f t="shared" si="1"/>
        <v>9.989836928904694E-2</v>
      </c>
    </row>
    <row r="10" spans="2:15" x14ac:dyDescent="0.3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47"/>
      <c r="O10" s="47"/>
    </row>
    <row r="11" spans="2:15" x14ac:dyDescent="0.3">
      <c r="B11" t="s">
        <v>62</v>
      </c>
      <c r="C11" s="38">
        <f>IFERROR('Historical FS'!C13,0)</f>
        <v>0.41371297993662626</v>
      </c>
      <c r="D11" s="38">
        <f>IFERROR('Historical FS'!D13,0)</f>
        <v>0.436431989063568</v>
      </c>
      <c r="E11" s="38">
        <f>IFERROR('Historical FS'!E13,0)</f>
        <v>0.44119775646824677</v>
      </c>
      <c r="F11" s="38">
        <f>IFERROR('Historical FS'!F13,0)</f>
        <v>0.45460683640455762</v>
      </c>
      <c r="G11" s="38">
        <f>IFERROR('Historical FS'!G13,0)</f>
        <v>0.464029509030781</v>
      </c>
      <c r="H11" s="38">
        <f>IFERROR('Historical FS'!H13,0)</f>
        <v>0.47912424905110224</v>
      </c>
      <c r="I11" s="38">
        <f>IFERROR('Historical FS'!I13,0)</f>
        <v>0.45338947010291741</v>
      </c>
      <c r="J11" s="38">
        <f>IFERROR('Historical FS'!J13,0)</f>
        <v>0.44537238302253745</v>
      </c>
      <c r="K11" s="38">
        <f>IFERROR('Historical FS'!K13,0)</f>
        <v>0.41472433146252891</v>
      </c>
      <c r="L11" s="38">
        <f>IFERROR('Historical FS'!L13,0)</f>
        <v>0.4561522553961484</v>
      </c>
      <c r="N11" s="38">
        <f>IFERROR(AVERAGE(C11:L11),0)</f>
        <v>0.44587417599390139</v>
      </c>
      <c r="O11" s="38">
        <f t="shared" si="1"/>
        <v>0.44938092656272743</v>
      </c>
    </row>
    <row r="12" spans="2:15" x14ac:dyDescent="0.3">
      <c r="B12" t="s">
        <v>64</v>
      </c>
      <c r="C12" s="38">
        <f>IFERROR('Historical FS'!C19,0)</f>
        <v>0.16928524445776161</v>
      </c>
      <c r="D12" s="38">
        <f>IFERROR('Historical FS'!D19,0)</f>
        <v>0.18362020754365252</v>
      </c>
      <c r="E12" s="38">
        <f>IFERROR('Historical FS'!E19,0)</f>
        <v>0.1908208190097099</v>
      </c>
      <c r="F12" s="38">
        <f>IFERROR('Historical FS'!F19,0)</f>
        <v>0.21097200731467156</v>
      </c>
      <c r="G12" s="38">
        <f>IFERROR('Historical FS'!G19,0)</f>
        <v>0.2258967183922666</v>
      </c>
      <c r="H12" s="38">
        <f>IFERROR('Historical FS'!H19,0)</f>
        <v>0.24786969308498605</v>
      </c>
      <c r="I12" s="38">
        <f>IFERROR('Historical FS'!I19,0)</f>
        <v>0.24721442544866887</v>
      </c>
      <c r="J12" s="38">
        <f>IFERROR('Historical FS'!J19,0)</f>
        <v>0.24514738969606834</v>
      </c>
      <c r="K12" s="38">
        <f>IFERROR('Historical FS'!K19,0)</f>
        <v>0.23352591614394189</v>
      </c>
      <c r="L12" s="38">
        <f>IFERROR('Historical FS'!L19,0)</f>
        <v>0.23683275171255008</v>
      </c>
      <c r="N12" s="38">
        <f t="shared" ref="N12:N40" si="2">IFERROR(AVERAGE(C12:L12),0)</f>
        <v>0.21911851728042769</v>
      </c>
      <c r="O12" s="38">
        <f t="shared" si="1"/>
        <v>0.22971131726810423</v>
      </c>
    </row>
    <row r="13" spans="2:15" x14ac:dyDescent="0.3">
      <c r="B13" t="s">
        <v>136</v>
      </c>
      <c r="C13" s="38">
        <f>IFERROR('Historical FS'!C28,0)</f>
        <v>0.1592017938089321</v>
      </c>
      <c r="D13" s="38">
        <f>IFERROR('Historical FS'!D28,0)</f>
        <v>0.17265270614552911</v>
      </c>
      <c r="E13" s="38">
        <f>IFERROR('Historical FS'!E28,0)</f>
        <v>0.17779386044267534</v>
      </c>
      <c r="F13" s="38">
        <f>IFERROR('Historical FS'!F28,0)</f>
        <v>0.19634266422844282</v>
      </c>
      <c r="G13" s="38">
        <f>IFERROR('Historical FS'!G28,0)</f>
        <v>0.21152378529636226</v>
      </c>
      <c r="H13" s="38">
        <f>IFERROR('Historical FS'!H28,0)</f>
        <v>0.22268305557650253</v>
      </c>
      <c r="I13" s="38">
        <f>IFERROR('Historical FS'!I28,0)</f>
        <v>0.22437696691332823</v>
      </c>
      <c r="J13" s="38">
        <f>IFERROR('Historical FS'!J28,0)</f>
        <v>0.22434504061320215</v>
      </c>
      <c r="K13" s="38">
        <f>IFERROR('Historical FS'!K28,0)</f>
        <v>0.21475734565863322</v>
      </c>
      <c r="L13" s="38">
        <f>IFERROR('Historical FS'!L28,0)</f>
        <v>0.21718689414501746</v>
      </c>
      <c r="N13" s="38">
        <f t="shared" si="2"/>
        <v>0.2020864112828625</v>
      </c>
      <c r="O13" s="38">
        <f t="shared" si="1"/>
        <v>0.21314056547749774</v>
      </c>
    </row>
    <row r="14" spans="2:15" x14ac:dyDescent="0.3">
      <c r="B14" t="s">
        <v>137</v>
      </c>
      <c r="C14" s="38">
        <f>IFERROR('Historical FS'!C31,0)</f>
        <v>0.15864818769061489</v>
      </c>
      <c r="D14" s="38">
        <f>IFERROR('Historical FS'!D31,0)</f>
        <v>0.17212452619151183</v>
      </c>
      <c r="E14" s="38">
        <f>IFERROR('Historical FS'!E31,0)</f>
        <v>0.17673843555877208</v>
      </c>
      <c r="F14" s="38">
        <f>IFERROR('Historical FS'!F31,0)</f>
        <v>0.19561119707413138</v>
      </c>
      <c r="G14" s="38">
        <f>IFERROR('Historical FS'!G31,0)</f>
        <v>0.21068430424828288</v>
      </c>
      <c r="H14" s="38">
        <f>IFERROR('Historical FS'!H31,0)</f>
        <v>0.21971696453258929</v>
      </c>
      <c r="I14" s="38">
        <f>IFERROR('Historical FS'!I31,0)</f>
        <v>0.22188908735221571</v>
      </c>
      <c r="J14" s="38">
        <f>IFERROR('Historical FS'!J31,0)</f>
        <v>0.22232391412119132</v>
      </c>
      <c r="K14" s="38">
        <f>IFERROR('Historical FS'!K31,0)</f>
        <v>0.21287553648068669</v>
      </c>
      <c r="L14" s="38">
        <f>IFERROR('Historical FS'!L31,0)</f>
        <v>0.2117907457670932</v>
      </c>
      <c r="N14" s="38">
        <f t="shared" si="2"/>
        <v>0.20024028990170892</v>
      </c>
      <c r="O14" s="38">
        <f t="shared" si="1"/>
        <v>0.21123752500768805</v>
      </c>
    </row>
    <row r="15" spans="2:15" x14ac:dyDescent="0.3">
      <c r="B15" s="35" t="s">
        <v>138</v>
      </c>
      <c r="C15" s="37">
        <f>IFERROR('Historical FS'!C37,0)</f>
        <v>9.7845346221200391E-2</v>
      </c>
      <c r="D15" s="37">
        <f>IFERROR('Historical FS'!D37,0)</f>
        <v>0.11386938420431243</v>
      </c>
      <c r="E15" s="37">
        <f>IFERROR('Historical FS'!E37,0)</f>
        <v>0.11712200711657922</v>
      </c>
      <c r="F15" s="37">
        <f>IFERROR('Historical FS'!F37,0)</f>
        <v>0.1371219580813054</v>
      </c>
      <c r="G15" s="37">
        <f>IFERROR('Historical FS'!G37,0)</f>
        <v>0.14596794708725516</v>
      </c>
      <c r="H15" s="37">
        <f>IFERROR('Historical FS'!H37,0)</f>
        <v>0.15916346178015736</v>
      </c>
      <c r="I15" s="37">
        <f>IFERROR('Historical FS'!I37,0)</f>
        <v>0.16647529131581185</v>
      </c>
      <c r="J15" s="37">
        <f>IFERROR('Historical FS'!J37,0)</f>
        <v>0.16537009495481067</v>
      </c>
      <c r="K15" s="37">
        <f>IFERROR('Historical FS'!K37,0)</f>
        <v>0.16003631561571477</v>
      </c>
      <c r="L15" s="37">
        <f>IFERROR('Historical FS'!L37,0)</f>
        <v>0.15291779759596744</v>
      </c>
      <c r="N15" s="38">
        <f t="shared" si="2"/>
        <v>0.14158896039731145</v>
      </c>
      <c r="O15" s="38">
        <f t="shared" si="1"/>
        <v>0.1494428723416113</v>
      </c>
    </row>
    <row r="16" spans="2:15" x14ac:dyDescent="0.3"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46"/>
      <c r="N16" s="47"/>
      <c r="O16" s="47"/>
    </row>
    <row r="17" spans="2:15" x14ac:dyDescent="0.3">
      <c r="B17" t="s">
        <v>139</v>
      </c>
      <c r="C17" s="38">
        <f>IFERROR('Historical FS'!C16,0)</f>
        <v>0.24442773547886462</v>
      </c>
      <c r="D17" s="38">
        <f>IFERROR('Historical FS'!D16,0)</f>
        <v>0.25281178151991551</v>
      </c>
      <c r="E17" s="38">
        <f>IFERROR('Historical FS'!E16,0)</f>
        <v>0.2503769374585369</v>
      </c>
      <c r="F17" s="38">
        <f>IFERROR('Historical FS'!F16,0)</f>
        <v>0.24363482908988607</v>
      </c>
      <c r="G17" s="38">
        <f>IFERROR('Historical FS'!G16,0)</f>
        <v>0.23813279063851436</v>
      </c>
      <c r="H17" s="38">
        <f>IFERROR('Historical FS'!H16,0)</f>
        <v>0.23125455596611619</v>
      </c>
      <c r="I17" s="38">
        <f>IFERROR('Historical FS'!I16,0)</f>
        <v>0.20617504465424855</v>
      </c>
      <c r="J17" s="38">
        <f>IFERROR('Historical FS'!J16,0)</f>
        <v>0.20022499332646912</v>
      </c>
      <c r="K17" s="38">
        <f>IFERROR('Historical FS'!K16,0)</f>
        <v>0.18119841531858699</v>
      </c>
      <c r="L17" s="38">
        <f>IFERROR('Historical FS'!L16,0)</f>
        <v>0.21931950368359829</v>
      </c>
      <c r="N17" s="38">
        <f t="shared" si="2"/>
        <v>0.22675565871347364</v>
      </c>
      <c r="O17" s="38">
        <f t="shared" si="1"/>
        <v>0.23469367330231528</v>
      </c>
    </row>
    <row r="18" spans="2:15" x14ac:dyDescent="0.3">
      <c r="B18" t="s">
        <v>140</v>
      </c>
      <c r="C18" s="38">
        <f>IFERROR('Historical FS'!C25,0)</f>
        <v>1.0083450648829498E-2</v>
      </c>
      <c r="D18" s="38">
        <f>IFERROR('Historical FS'!D25,0)</f>
        <v>1.0967501398123409E-2</v>
      </c>
      <c r="E18" s="38">
        <f>IFERROR('Historical FS'!E25,0)</f>
        <v>1.3026958567034558E-2</v>
      </c>
      <c r="F18" s="38">
        <f>IFERROR('Historical FS'!F25,0)</f>
        <v>1.4629343086228723E-2</v>
      </c>
      <c r="G18" s="38">
        <f>IFERROR('Historical FS'!G25,0)</f>
        <v>1.437293309590435E-2</v>
      </c>
      <c r="H18" s="38">
        <f>IFERROR('Historical FS'!H25,0)</f>
        <v>2.5186637508483524E-2</v>
      </c>
      <c r="I18" s="38">
        <f>IFERROR('Historical FS'!I25,0)</f>
        <v>2.2837458535340648E-2</v>
      </c>
      <c r="J18" s="38">
        <f>IFERROR('Historical FS'!J25,0)</f>
        <v>2.0802349082866187E-2</v>
      </c>
      <c r="K18" s="38">
        <f>IFERROR('Historical FS'!K25,0)</f>
        <v>1.8768570485308684E-2</v>
      </c>
      <c r="L18" s="38">
        <f>IFERROR('Historical FS'!L25,0)</f>
        <v>1.9645857567532635E-2</v>
      </c>
      <c r="N18" s="38">
        <f t="shared" si="2"/>
        <v>1.7032105997565224E-2</v>
      </c>
      <c r="O18" s="38">
        <f t="shared" si="1"/>
        <v>1.6698956785768704E-2</v>
      </c>
    </row>
    <row r="19" spans="2:15" x14ac:dyDescent="0.3">
      <c r="B19" s="35" t="s">
        <v>141</v>
      </c>
      <c r="C19" s="37">
        <f>IFERROR(C13,0)</f>
        <v>0.1592017938089321</v>
      </c>
      <c r="D19" s="37">
        <f t="shared" ref="D19:L19" si="3">IFERROR(D13,0)</f>
        <v>0.17265270614552911</v>
      </c>
      <c r="E19" s="37">
        <f t="shared" si="3"/>
        <v>0.17779386044267534</v>
      </c>
      <c r="F19" s="37">
        <f t="shared" si="3"/>
        <v>0.19634266422844282</v>
      </c>
      <c r="G19" s="37">
        <f t="shared" si="3"/>
        <v>0.21152378529636226</v>
      </c>
      <c r="H19" s="37">
        <f t="shared" si="3"/>
        <v>0.22268305557650253</v>
      </c>
      <c r="I19" s="37">
        <f t="shared" si="3"/>
        <v>0.22437696691332823</v>
      </c>
      <c r="J19" s="37">
        <f t="shared" si="3"/>
        <v>0.22434504061320215</v>
      </c>
      <c r="K19" s="37">
        <f t="shared" si="3"/>
        <v>0.21475734565863322</v>
      </c>
      <c r="L19" s="37">
        <f t="shared" si="3"/>
        <v>0.21718689414501746</v>
      </c>
      <c r="N19" s="38">
        <f t="shared" si="2"/>
        <v>0.2020864112828625</v>
      </c>
      <c r="O19" s="38">
        <f t="shared" si="1"/>
        <v>0.21314056547749774</v>
      </c>
    </row>
    <row r="20" spans="2:15" x14ac:dyDescent="0.3"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46"/>
      <c r="N20" s="47"/>
      <c r="O20" s="47"/>
    </row>
    <row r="21" spans="2:15" x14ac:dyDescent="0.3">
      <c r="B21" t="s">
        <v>142</v>
      </c>
      <c r="C21" s="38">
        <f>IFERROR(('Historical FS'!C27)/(SUM('Historical FS'!C51:C53)),0)</f>
        <v>1.2504618574531019</v>
      </c>
      <c r="D21" s="38">
        <f>IFERROR(('Historical FS'!D27)/(SUM('Historical FS'!D51:D53)),0)</f>
        <v>0.82325925925925925</v>
      </c>
      <c r="E21" s="38">
        <f>IFERROR(('Historical FS'!E27)/(SUM('Historical FS'!E51:E53)),0)</f>
        <v>0.83976641504059246</v>
      </c>
      <c r="F21" s="38">
        <f>IFERROR(('Historical FS'!F27)/(SUM('Historical FS'!F51:F53)),0)</f>
        <v>0.95852218101909081</v>
      </c>
      <c r="G21" s="38">
        <f>IFERROR(('Historical FS'!G27)/(SUM('Historical FS'!G51:G53)),0)</f>
        <v>1.0438111975897564</v>
      </c>
      <c r="H21" s="38">
        <f>IFERROR(('Historical FS'!H27)/(SUM('Historical FS'!H51:H53)),0)</f>
        <v>1.0765585125774699</v>
      </c>
      <c r="I21" s="38">
        <f>IFERROR(('Historical FS'!I27)/(SUM('Historical FS'!I51:I53)),0)</f>
        <v>0.22133657758946176</v>
      </c>
      <c r="J21" s="38">
        <f>IFERROR(('Historical FS'!J27)/(SUM('Historical FS'!J51:J53)),0)</f>
        <v>0.23483155037521955</v>
      </c>
      <c r="K21" s="38">
        <f>IFERROR(('Historical FS'!K27)/(SUM('Historical FS'!K51:K53)),0)</f>
        <v>0.25250858839741475</v>
      </c>
      <c r="L21" s="38">
        <f>IFERROR(('Historical FS'!L27)/(SUM('Historical FS'!L51:L53)),0)</f>
        <v>0.25507570870175705</v>
      </c>
      <c r="N21" s="38">
        <f t="shared" si="2"/>
        <v>0.69561318480031242</v>
      </c>
      <c r="O21" s="38">
        <f t="shared" si="1"/>
        <v>0.83151283714992585</v>
      </c>
    </row>
    <row r="22" spans="2:15" x14ac:dyDescent="0.3">
      <c r="B22" t="s">
        <v>143</v>
      </c>
      <c r="C22" s="38">
        <f>IFERROR('Historical FS'!C47,0)</f>
        <v>0</v>
      </c>
      <c r="D22" s="38">
        <f>IFERROR('Historical FS'!D47,0)</f>
        <v>5.7025920873124192E-2</v>
      </c>
      <c r="E22" s="38">
        <f>IFERROR('Historical FS'!E47,0)</f>
        <v>5.4582904222451045E-2</v>
      </c>
      <c r="F22" s="38">
        <f>IFERROR('Historical FS'!F47,0)</f>
        <v>0.11366434140336479</v>
      </c>
      <c r="G22" s="38">
        <f>IFERROR('Historical FS'!G47,0)</f>
        <v>0.17183687696061345</v>
      </c>
      <c r="H22" s="38">
        <f>IFERROR('Historical FS'!H47,0)</f>
        <v>0.14718888186986734</v>
      </c>
      <c r="I22" s="38">
        <f>IFERROR('Historical FS'!I47,0)</f>
        <v>0</v>
      </c>
      <c r="J22" s="38">
        <f>IFERROR('Historical FS'!J47,0)</f>
        <v>7.8750144125446675E-2</v>
      </c>
      <c r="K22" s="38">
        <f>IFERROR('Historical FS'!K47,0)</f>
        <v>5.4667354306343507E-2</v>
      </c>
      <c r="L22" s="38">
        <f>IFERROR('Historical FS'!L47,0)</f>
        <v>0</v>
      </c>
      <c r="N22" s="38">
        <f t="shared" si="2"/>
        <v>6.77716423761211E-2</v>
      </c>
      <c r="O22" s="38">
        <f t="shared" si="1"/>
        <v>5.584663758973385E-2</v>
      </c>
    </row>
    <row r="23" spans="2:15" x14ac:dyDescent="0.3">
      <c r="B23" t="s">
        <v>144</v>
      </c>
      <c r="C23" s="38">
        <f>IFERROR('Historical FS'!C41/SUM('Historical FS'!C51:C52),0)</f>
        <v>3.5902299664443715E-3</v>
      </c>
      <c r="D23" s="38">
        <f>IFERROR('Historical FS'!D41/SUM('Historical FS'!D51:D52),0)</f>
        <v>2.5767551919525485E-3</v>
      </c>
      <c r="E23" s="38">
        <f>IFERROR('Historical FS'!E41/SUM('Historical FS'!E51:E52),0)</f>
        <v>2.6609958679749226E-3</v>
      </c>
      <c r="F23" s="38">
        <f>IFERROR('Historical FS'!F41/SUM('Historical FS'!F51:F52),0)</f>
        <v>3.0926936571765581E-3</v>
      </c>
      <c r="G23" s="38">
        <f>IFERROR('Historical FS'!G41/SUM('Historical FS'!G51:G52),0)</f>
        <v>3.3694085734912371E-3</v>
      </c>
      <c r="H23" s="38">
        <f>IFERROR('Historical FS'!H41/SUM('Historical FS'!H51:H52),0)</f>
        <v>3.5544799155942377E-3</v>
      </c>
      <c r="I23" s="38">
        <f>IFERROR('Historical FS'!I41/SUM('Historical FS'!I51:I52),0)</f>
        <v>6.9892530944723897E-4</v>
      </c>
      <c r="J23" s="38">
        <f>IFERROR('Historical FS'!J41/SUM('Historical FS'!J51:J52),0)</f>
        <v>7.5238307384072251E-4</v>
      </c>
      <c r="K23" s="38">
        <f>IFERROR('Historical FS'!K41/SUM('Historical FS'!K51:K52),0)</f>
        <v>8.2025967172366947E-4</v>
      </c>
      <c r="L23" s="38">
        <f>IFERROR('Historical FS'!L41/SUM('Historical FS'!L51:L52),0)</f>
        <v>7.8650967438310016E-4</v>
      </c>
      <c r="N23" s="38">
        <f t="shared" si="2"/>
        <v>2.1902640902028607E-3</v>
      </c>
      <c r="O23" s="38">
        <f t="shared" si="1"/>
        <v>2.6188755299637358E-3</v>
      </c>
    </row>
    <row r="24" spans="2:15" x14ac:dyDescent="0.3">
      <c r="B24" t="s">
        <v>145</v>
      </c>
      <c r="C24" s="38">
        <f>IFERROR(C22*C23,0)</f>
        <v>0</v>
      </c>
      <c r="D24" s="38">
        <f t="shared" ref="D24:L24" si="4">IFERROR(D22*D23,0)</f>
        <v>1.4694183768569798E-4</v>
      </c>
      <c r="E24" s="38">
        <f t="shared" si="4"/>
        <v>1.452448825980132E-4</v>
      </c>
      <c r="F24" s="38">
        <f t="shared" si="4"/>
        <v>3.515289877053371E-4</v>
      </c>
      <c r="G24" s="38">
        <f t="shared" si="4"/>
        <v>5.789886464730498E-4</v>
      </c>
      <c r="H24" s="38">
        <f t="shared" si="4"/>
        <v>5.2317992440521625E-4</v>
      </c>
      <c r="I24" s="38">
        <f t="shared" si="4"/>
        <v>0</v>
      </c>
      <c r="J24" s="38">
        <f t="shared" si="4"/>
        <v>5.9250275502503484E-5</v>
      </c>
      <c r="K24" s="38">
        <f t="shared" si="4"/>
        <v>4.4841426097322851E-5</v>
      </c>
      <c r="L24" s="38">
        <f t="shared" si="4"/>
        <v>0</v>
      </c>
      <c r="N24" s="38">
        <f t="shared" si="2"/>
        <v>1.8499759804671407E-4</v>
      </c>
      <c r="O24" s="38">
        <f t="shared" si="1"/>
        <v>1.0224757905025834E-4</v>
      </c>
    </row>
    <row r="25" spans="2:15" x14ac:dyDescent="0.3">
      <c r="B25" s="35" t="s">
        <v>146</v>
      </c>
      <c r="C25" s="39">
        <f>IFERROR('Historical FS'!C27/'Historical FS'!C21,0)</f>
        <v>287.57231638418085</v>
      </c>
      <c r="D25" s="39">
        <f>IFERROR('Historical FS'!D27/'Historical FS'!D21,0)</f>
        <v>326.88235294117646</v>
      </c>
      <c r="E25" s="39">
        <f>IFERROR('Historical FS'!E27/'Historical FS'!E21,0)</f>
        <v>168.45714285714286</v>
      </c>
      <c r="F25" s="39">
        <f>IFERROR('Historical FS'!F27/'Historical FS'!F21,0)</f>
        <v>268.42307692307691</v>
      </c>
      <c r="G25" s="39">
        <f>IFERROR('Historical FS'!G27/'Historical FS'!G21,0)</f>
        <v>251.96969696969697</v>
      </c>
      <c r="H25" s="39">
        <f>IFERROR('Historical FS'!H27/'Historical FS'!H21,0)</f>
        <v>75.076271186440678</v>
      </c>
      <c r="I25" s="39">
        <f>IFERROR('Historical FS'!I27/'Historical FS'!I21,0)</f>
        <v>90.188034188034194</v>
      </c>
      <c r="J25" s="39">
        <f>IFERROR('Historical FS'!J27/'Historical FS'!J21,0)</f>
        <v>111</v>
      </c>
      <c r="K25" s="39">
        <f>IFERROR('Historical FS'!K27/'Historical FS'!K21,0)</f>
        <v>114.12280701754386</v>
      </c>
      <c r="L25" s="39">
        <f>IFERROR('Historical FS'!L27/'Historical FS'!L21,0)</f>
        <v>40.248502994011979</v>
      </c>
      <c r="N25" s="39">
        <f t="shared" si="2"/>
        <v>173.39402014613046</v>
      </c>
      <c r="O25" s="39">
        <f t="shared" si="1"/>
        <v>141.28997493734335</v>
      </c>
    </row>
    <row r="26" spans="2:15" x14ac:dyDescent="0.3"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46"/>
      <c r="N26" s="46"/>
      <c r="O26" s="46"/>
    </row>
    <row r="27" spans="2:15" x14ac:dyDescent="0.3">
      <c r="B27" t="s">
        <v>147</v>
      </c>
      <c r="C27" s="40">
        <f>IFERROR('Historical FS'!C6/'Historical FS'!C63,0)</f>
        <v>31.646860276359028</v>
      </c>
      <c r="D27" s="40">
        <f>IFERROR('Historical FS'!D6/'Historical FS'!D63,0)</f>
        <v>25.463607594936708</v>
      </c>
      <c r="E27" s="40">
        <f>IFERROR('Historical FS'!E6/'Historical FS'!E63,0)</f>
        <v>30.56405529953917</v>
      </c>
      <c r="F27" s="40">
        <f>IFERROR('Historical FS'!F6/'Historical FS'!F63,0)</f>
        <v>27.133587786259543</v>
      </c>
      <c r="G27" s="40">
        <f>IFERROR('Historical FS'!G6/'Historical FS'!G63,0)</f>
        <v>21.646475770925111</v>
      </c>
      <c r="H27" s="40">
        <f>IFERROR('Historical FS'!H6/'Historical FS'!H63,0)</f>
        <v>34.624020887728463</v>
      </c>
      <c r="I27" s="40">
        <f>IFERROR('Historical FS'!I6/'Historical FS'!I63,0)</f>
        <v>26.750853242320819</v>
      </c>
      <c r="J27" s="40">
        <f>IFERROR('Historical FS'!J6/'Historical FS'!J63,0)</f>
        <v>23.455277280858677</v>
      </c>
      <c r="K27" s="40">
        <f>IFERROR('Historical FS'!K6/'Historical FS'!K63,0)</f>
        <v>19.67521922702176</v>
      </c>
      <c r="L27" s="40">
        <f>IFERROR('Historical FS'!L6/'Historical FS'!L63,0)</f>
        <v>20.652652652652652</v>
      </c>
      <c r="N27" s="40">
        <f t="shared" si="2"/>
        <v>26.16126100186019</v>
      </c>
      <c r="O27" s="40">
        <f t="shared" si="1"/>
        <v>26.107230418628763</v>
      </c>
    </row>
    <row r="28" spans="2:15" x14ac:dyDescent="0.3">
      <c r="B28" t="s">
        <v>148</v>
      </c>
      <c r="C28" s="40">
        <f>IFERROR('Historical FS'!C6/'Historical FS'!C54,0)</f>
        <v>3.0864136630817036</v>
      </c>
      <c r="D28" s="40">
        <f>IFERROR('Historical FS'!D6/'Historical FS'!D54,0)</f>
        <v>4.0017406440382945</v>
      </c>
      <c r="E28" s="40">
        <f>IFERROR('Historical FS'!E6/'Historical FS'!E54,0)</f>
        <v>3.818307426597582</v>
      </c>
      <c r="F28" s="40">
        <f>IFERROR('Historical FS'!F6/'Historical FS'!F54,0)</f>
        <v>3.3593233153766184</v>
      </c>
      <c r="G28" s="40">
        <f>IFERROR('Historical FS'!G6/'Historical FS'!G54,0)</f>
        <v>3.6865797617931162</v>
      </c>
      <c r="H28" s="40">
        <f>IFERROR('Historical FS'!H6/'Historical FS'!H54,0)</f>
        <v>3.3363804092586382</v>
      </c>
      <c r="I28" s="40">
        <f>IFERROR('Historical FS'!I6/'Historical FS'!I54,0)</f>
        <v>2.2324124181144973</v>
      </c>
      <c r="J28" s="40">
        <f>IFERROR('Historical FS'!J6/'Historical FS'!J54,0)</f>
        <v>2.5706303303597688</v>
      </c>
      <c r="K28" s="40">
        <f>IFERROR('Historical FS'!K6/'Historical FS'!K54,0)</f>
        <v>2.8106151990349817</v>
      </c>
      <c r="L28" s="40">
        <f>IFERROR('Historical FS'!L6/'Historical FS'!L54,0)</f>
        <v>2.4002792104548805</v>
      </c>
      <c r="N28" s="40">
        <f t="shared" si="2"/>
        <v>3.1302682378110083</v>
      </c>
      <c r="O28" s="40">
        <f t="shared" si="1"/>
        <v>3.2113970361701707</v>
      </c>
    </row>
    <row r="29" spans="2:15" x14ac:dyDescent="0.3">
      <c r="B29" t="s">
        <v>149</v>
      </c>
      <c r="C29" s="40">
        <f>IFERROR('Historical FS'!C6/'Historical FS'!C64,0)</f>
        <v>11.223077166095079</v>
      </c>
      <c r="D29" s="40">
        <f>IFERROR('Historical FS'!D6/'Historical FS'!D64,0)</f>
        <v>11.807043286867204</v>
      </c>
      <c r="E29" s="40">
        <f>IFERROR('Historical FS'!E6/'Historical FS'!E64,0)</f>
        <v>13.050767414403778</v>
      </c>
      <c r="F29" s="40">
        <f>IFERROR('Historical FS'!F6/'Historical FS'!F64,0)</f>
        <v>14.144448865897333</v>
      </c>
      <c r="G29" s="40">
        <f>IFERROR('Historical FS'!G6/'Historical FS'!G64,0)</f>
        <v>15.271950271950272</v>
      </c>
      <c r="H29" s="40">
        <f>IFERROR('Historical FS'!H6/'Historical FS'!H64,0)</f>
        <v>14.377665341525118</v>
      </c>
      <c r="I29" s="40">
        <f>IFERROR('Historical FS'!I6/'Historical FS'!I64,0)</f>
        <v>13.139983235540655</v>
      </c>
      <c r="J29" s="40">
        <f>IFERROR('Historical FS'!J6/'Historical FS'!J64,0)</f>
        <v>12.80419921875</v>
      </c>
      <c r="K29" s="40">
        <f>IFERROR('Historical FS'!K6/'Historical FS'!K64,0)</f>
        <v>14.250764525993883</v>
      </c>
      <c r="L29" s="40">
        <f>IFERROR('Historical FS'!L6/'Historical FS'!L64,0)</f>
        <v>15.389358528095475</v>
      </c>
      <c r="N29" s="40">
        <f t="shared" si="2"/>
        <v>13.54592578551188</v>
      </c>
      <c r="O29" s="40">
        <f t="shared" si="1"/>
        <v>13.642216050718993</v>
      </c>
    </row>
    <row r="30" spans="2:15" x14ac:dyDescent="0.3">
      <c r="B30" t="s">
        <v>150</v>
      </c>
      <c r="C30" s="40">
        <f>IFERROR('Historical FS'!C6/'Historical FS'!C57,0)</f>
        <v>11.33359683234019</v>
      </c>
      <c r="D30" s="40">
        <f>IFERROR('Historical FS'!D6/'Historical FS'!D57,0)</f>
        <v>9.8790669122160839</v>
      </c>
      <c r="E30" s="40">
        <f>IFERROR('Historical FS'!E6/'Historical FS'!E57,0)</f>
        <v>7.5044127630685677</v>
      </c>
      <c r="F30" s="40">
        <f>IFERROR('Historical FS'!F6/'Historical FS'!F57,0)</f>
        <v>7.8500441696113077</v>
      </c>
      <c r="G30" s="40">
        <f>IFERROR('Historical FS'!G6/'Historical FS'!G57,0)</f>
        <v>8.3372216330858961</v>
      </c>
      <c r="H30" s="40">
        <f>IFERROR('Historical FS'!H6/'Historical FS'!H57,0)</f>
        <v>7.2609965322139081</v>
      </c>
      <c r="I30" s="40">
        <f>IFERROR('Historical FS'!I6/'Historical FS'!I57,0)</f>
        <v>0.91417685593763975</v>
      </c>
      <c r="J30" s="40">
        <f>IFERROR('Historical FS'!J6/'Historical FS'!J57,0)</f>
        <v>1.018903114254075</v>
      </c>
      <c r="K30" s="40">
        <f>IFERROR('Historical FS'!K6/'Historical FS'!K57,0)</f>
        <v>1.1500056949770303</v>
      </c>
      <c r="L30" s="40">
        <f>IFERROR('Historical FS'!L6/'Historical FS'!L57,0)</f>
        <v>1.1516820482286394</v>
      </c>
      <c r="N30" s="40">
        <f t="shared" si="2"/>
        <v>5.6400106555933336</v>
      </c>
      <c r="O30" s="40">
        <f t="shared" si="1"/>
        <v>7.3827046476412379</v>
      </c>
    </row>
    <row r="31" spans="2:15" x14ac:dyDescent="0.3">
      <c r="B31" s="35" t="s">
        <v>151</v>
      </c>
      <c r="C31" s="39">
        <f>IFERROR('Historical FS'!C6/SUM('Historical FS'!C51:C52),0)</f>
        <v>7.9385099367346328</v>
      </c>
      <c r="D31" s="39">
        <f>IFERROR('Historical FS'!D6/SUM('Historical FS'!D51:D52),0)</f>
        <v>4.8966986155484555</v>
      </c>
      <c r="E31" s="39">
        <f>IFERROR('Historical FS'!E6/SUM('Historical FS'!E51:E52),0)</f>
        <v>4.9172597864768681</v>
      </c>
      <c r="F31" s="39">
        <f>IFERROR('Historical FS'!F6/SUM('Historical FS'!F51:F52),0)</f>
        <v>4.8818843565444308</v>
      </c>
      <c r="G31" s="39">
        <f>IFERROR('Historical FS'!G6/SUM('Historical FS'!G51:G52),0)</f>
        <v>4.9968221685521801</v>
      </c>
      <c r="H31" s="39">
        <f>IFERROR('Historical FS'!H6/SUM('Historical FS'!H51:H52),0)</f>
        <v>4.8344877870944218</v>
      </c>
      <c r="I31" s="39">
        <f>IFERROR('Historical FS'!I6/SUM('Historical FS'!I51:I52),0)</f>
        <v>0.98644963711876499</v>
      </c>
      <c r="J31" s="39">
        <f>IFERROR('Historical FS'!J6/SUM('Historical FS'!J51:J52),0)</f>
        <v>1.0689957399971464</v>
      </c>
      <c r="K31" s="39">
        <f>IFERROR('Historical FS'!K6/SUM('Historical FS'!K51:K52),0)</f>
        <v>1.2042779898218829</v>
      </c>
      <c r="L31" s="39">
        <f>IFERROR('Historical FS'!L6/SUM('Historical FS'!L51:L52),0)</f>
        <v>1.2084813932601819</v>
      </c>
      <c r="N31" s="39">
        <f t="shared" si="2"/>
        <v>3.6933867411148968</v>
      </c>
      <c r="O31" s="39">
        <f t="shared" si="1"/>
        <v>4.8581860718194267</v>
      </c>
    </row>
    <row r="32" spans="2:15" x14ac:dyDescent="0.3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46"/>
      <c r="N32" s="46"/>
      <c r="O32" s="46"/>
    </row>
    <row r="33" spans="2:15" x14ac:dyDescent="0.3">
      <c r="B33" t="s">
        <v>152</v>
      </c>
      <c r="C33" s="41">
        <f>IFERROR(365/C27,0)</f>
        <v>11.533529608075018</v>
      </c>
      <c r="D33" s="41">
        <f t="shared" ref="D33:L33" si="5">IFERROR(365/D27,0)</f>
        <v>14.334182563847637</v>
      </c>
      <c r="E33" s="41">
        <f t="shared" si="5"/>
        <v>11.942132561365419</v>
      </c>
      <c r="F33" s="41">
        <f t="shared" si="5"/>
        <v>13.4519623013082</v>
      </c>
      <c r="G33" s="41">
        <f t="shared" si="5"/>
        <v>16.861867209361485</v>
      </c>
      <c r="H33" s="41">
        <f t="shared" si="5"/>
        <v>10.541814342809742</v>
      </c>
      <c r="I33" s="41">
        <f t="shared" si="5"/>
        <v>13.644424598111764</v>
      </c>
      <c r="J33" s="41">
        <f t="shared" si="5"/>
        <v>15.561529954619989</v>
      </c>
      <c r="K33" s="41">
        <f t="shared" si="5"/>
        <v>18.551254539451964</v>
      </c>
      <c r="L33" s="41">
        <f t="shared" si="5"/>
        <v>17.673274525009695</v>
      </c>
      <c r="N33" s="41">
        <f t="shared" si="2"/>
        <v>14.40959722039609</v>
      </c>
      <c r="O33" s="41">
        <f t="shared" si="1"/>
        <v>13.989303580979701</v>
      </c>
    </row>
    <row r="34" spans="2:15" x14ac:dyDescent="0.3">
      <c r="B34" t="s">
        <v>153</v>
      </c>
      <c r="C34" s="41">
        <f>IFERROR(365/C28,0)</f>
        <v>118.26023334654273</v>
      </c>
      <c r="D34" s="41">
        <f t="shared" ref="D34:L34" si="6">IFERROR(365/D28,0)</f>
        <v>91.210308829926049</v>
      </c>
      <c r="E34" s="41">
        <f t="shared" si="6"/>
        <v>95.592093359869736</v>
      </c>
      <c r="F34" s="41">
        <f t="shared" si="6"/>
        <v>108.65283443522296</v>
      </c>
      <c r="G34" s="41">
        <f t="shared" si="6"/>
        <v>99.007758839989833</v>
      </c>
      <c r="H34" s="41">
        <f t="shared" si="6"/>
        <v>109.39999497272704</v>
      </c>
      <c r="I34" s="41">
        <f t="shared" si="6"/>
        <v>163.50025516713447</v>
      </c>
      <c r="J34" s="41">
        <f t="shared" si="6"/>
        <v>141.98852152690384</v>
      </c>
      <c r="K34" s="41">
        <f t="shared" si="6"/>
        <v>129.86480686695279</v>
      </c>
      <c r="L34" s="41">
        <f t="shared" si="6"/>
        <v>152.06564236784283</v>
      </c>
      <c r="N34" s="41">
        <f t="shared" si="2"/>
        <v>120.95424497131123</v>
      </c>
      <c r="O34" s="41">
        <f t="shared" si="1"/>
        <v>113.83011415963489</v>
      </c>
    </row>
    <row r="35" spans="2:15" x14ac:dyDescent="0.3">
      <c r="B35" t="s">
        <v>154</v>
      </c>
      <c r="C35" s="41">
        <f>IFERROR(365/C29,0)</f>
        <v>32.522274826966807</v>
      </c>
      <c r="D35" s="41">
        <f t="shared" ref="D35:L35" si="7">IFERROR(365/D29,0)</f>
        <v>30.913751320449887</v>
      </c>
      <c r="E35" s="41">
        <f t="shared" si="7"/>
        <v>27.967703998552562</v>
      </c>
      <c r="F35" s="41">
        <f t="shared" si="7"/>
        <v>25.805176536784359</v>
      </c>
      <c r="G35" s="41">
        <f t="shared" si="7"/>
        <v>23.90002543881964</v>
      </c>
      <c r="H35" s="41">
        <f t="shared" si="7"/>
        <v>25.386597290299875</v>
      </c>
      <c r="I35" s="41">
        <f t="shared" si="7"/>
        <v>27.777813217657563</v>
      </c>
      <c r="J35" s="41">
        <f t="shared" si="7"/>
        <v>28.506273119017656</v>
      </c>
      <c r="K35" s="41">
        <f t="shared" si="7"/>
        <v>25.612660944206009</v>
      </c>
      <c r="L35" s="41">
        <f t="shared" si="7"/>
        <v>23.717687734263926</v>
      </c>
      <c r="N35" s="41">
        <f t="shared" si="2"/>
        <v>27.210996442701827</v>
      </c>
      <c r="O35" s="41">
        <f t="shared" si="1"/>
        <v>26.791494877220963</v>
      </c>
    </row>
    <row r="36" spans="2:15" x14ac:dyDescent="0.3">
      <c r="B36" s="35" t="s">
        <v>155</v>
      </c>
      <c r="C36" s="41">
        <f>SUM(C33,C35)-C34</f>
        <v>-74.204428911500912</v>
      </c>
      <c r="D36" s="41">
        <f t="shared" ref="D36:L36" si="8">SUM(D33,D35)-D34</f>
        <v>-45.962374945628525</v>
      </c>
      <c r="E36" s="41">
        <f t="shared" si="8"/>
        <v>-55.682256799951759</v>
      </c>
      <c r="F36" s="41">
        <f t="shared" si="8"/>
        <v>-69.395695597130398</v>
      </c>
      <c r="G36" s="41">
        <f t="shared" si="8"/>
        <v>-58.245866191808709</v>
      </c>
      <c r="H36" s="41">
        <f t="shared" si="8"/>
        <v>-73.471583339617425</v>
      </c>
      <c r="I36" s="41">
        <f t="shared" si="8"/>
        <v>-122.07801735136513</v>
      </c>
      <c r="J36" s="41">
        <f t="shared" si="8"/>
        <v>-97.92071845326619</v>
      </c>
      <c r="K36" s="41">
        <f t="shared" si="8"/>
        <v>-85.700891383294817</v>
      </c>
      <c r="L36" s="41">
        <f t="shared" si="8"/>
        <v>-110.67468010856921</v>
      </c>
      <c r="N36" s="41">
        <f t="shared" si="2"/>
        <v>-79.333651308213305</v>
      </c>
      <c r="O36" s="41">
        <f t="shared" si="1"/>
        <v>-73.838006125559161</v>
      </c>
    </row>
    <row r="37" spans="2:15" x14ac:dyDescent="0.3">
      <c r="B37" s="35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6"/>
      <c r="N37" s="46"/>
      <c r="O37" s="46"/>
    </row>
    <row r="38" spans="2:15" x14ac:dyDescent="0.3">
      <c r="B38" t="s">
        <v>156</v>
      </c>
      <c r="C38" s="36">
        <f>IFERROR('Historical FS'!C83/'Historical FS'!C6,0)</f>
        <v>9.2674289749935801E-2</v>
      </c>
      <c r="D38" s="36">
        <f>IFERROR('Historical FS'!D83/'Historical FS'!D6,0)</f>
        <v>0.12732243832722301</v>
      </c>
      <c r="E38" s="36">
        <f>IFERROR('Historical FS'!E83/'Historical FS'!E6,0)</f>
        <v>0.17583378565828359</v>
      </c>
      <c r="F38" s="36">
        <f>IFERROR('Historical FS'!F83/'Historical FS'!F6,0)</f>
        <v>0.19392319594879731</v>
      </c>
      <c r="G38" s="36">
        <f>IFERROR('Historical FS'!G83/'Historical FS'!G6,0)</f>
        <v>0.1388450775883999</v>
      </c>
      <c r="H38" s="36">
        <f>IFERROR('Historical FS'!H83/'Historical FS'!H6,0)</f>
        <v>0.2020963728225624</v>
      </c>
      <c r="I38" s="36">
        <f>IFERROR('Historical FS'!I83/'Historical FS'!I6,0)</f>
        <v>0.19271497831079357</v>
      </c>
      <c r="J38" s="36">
        <f>IFERROR('Historical FS'!J83/'Historical FS'!J6,0)</f>
        <v>0.15339587385119932</v>
      </c>
      <c r="K38" s="36">
        <f>IFERROR('Historical FS'!K83/'Historical FS'!K6,0)</f>
        <v>0.14907560250907889</v>
      </c>
      <c r="L38" s="36">
        <f>IFERROR('Historical FS'!L83/'Historical FS'!L6,0)</f>
        <v>0.27113222179139201</v>
      </c>
      <c r="N38" s="38">
        <f t="shared" si="2"/>
        <v>0.16970138365576662</v>
      </c>
      <c r="O38" s="38">
        <f t="shared" si="1"/>
        <v>0.16461482975474145</v>
      </c>
    </row>
    <row r="39" spans="2:15" x14ac:dyDescent="0.3">
      <c r="B39" t="s">
        <v>157</v>
      </c>
      <c r="C39" s="36">
        <f>IFERROR('Historical FS'!C83/'Historical FS'!C68,0)</f>
        <v>0.2053427935629227</v>
      </c>
      <c r="D39" s="36">
        <f>IFERROR('Historical FS'!D83/'Historical FS'!D68,0)</f>
        <v>0.27702291624416953</v>
      </c>
      <c r="E39" s="36">
        <f>IFERROR('Historical FS'!E83/'Historical FS'!E68,0)</f>
        <v>0.37125939131542085</v>
      </c>
      <c r="F39" s="36">
        <f>IFERROR('Historical FS'!F83/'Historical FS'!F68,0)</f>
        <v>0.38590303437465012</v>
      </c>
      <c r="G39" s="36">
        <f>IFERROR('Historical FS'!G83/'Historical FS'!G68,0)</f>
        <v>0.29298405711525044</v>
      </c>
      <c r="H39" s="36">
        <f>IFERROR('Historical FS'!H83/'Historical FS'!H68,0)</f>
        <v>0.39894804743710616</v>
      </c>
      <c r="I39" s="36">
        <f>IFERROR('Historical FS'!I83/'Historical FS'!I68,0)</f>
        <v>0.13184463194646495</v>
      </c>
      <c r="J39" s="36">
        <f>IFERROR('Historical FS'!J83/'Historical FS'!J68,0)</f>
        <v>0.11410376421864805</v>
      </c>
      <c r="K39" s="36">
        <f>IFERROR('Historical FS'!K83/'Historical FS'!K68,0)</f>
        <v>0.12358197517686824</v>
      </c>
      <c r="L39" s="36">
        <f>IFERROR('Historical FS'!L83/'Historical FS'!L68,0)</f>
        <v>0.21381340060390627</v>
      </c>
      <c r="N39" s="38">
        <f t="shared" si="2"/>
        <v>0.25148040119954074</v>
      </c>
      <c r="O39" s="38">
        <f t="shared" si="1"/>
        <v>0.24541815842403791</v>
      </c>
    </row>
    <row r="40" spans="2:15" ht="15" thickBot="1" x14ac:dyDescent="0.35">
      <c r="B40" s="43" t="s">
        <v>158</v>
      </c>
      <c r="C40" s="44">
        <f>IFERROR('Historical FS'!C83/'Historical FS'!C53,0)</f>
        <v>68.842936802973981</v>
      </c>
      <c r="D40" s="44">
        <f>IFERROR('Historical FS'!D83/'Historical FS'!D53,0)</f>
        <v>23.152542372881356</v>
      </c>
      <c r="E40" s="44">
        <f>IFERROR('Historical FS'!E83/'Historical FS'!E53,0)</f>
        <v>21.050541516245488</v>
      </c>
      <c r="F40" s="44">
        <f>IFERROR('Historical FS'!F83/'Historical FS'!F53,0)</f>
        <v>0</v>
      </c>
      <c r="G40" s="44">
        <f>IFERROR('Historical FS'!G83/'Historical FS'!G53,0)</f>
        <v>55.131313131313128</v>
      </c>
      <c r="H40" s="44">
        <f>IFERROR('Historical FS'!H83/'Historical FS'!H53,0)</f>
        <v>0</v>
      </c>
      <c r="I40" s="44">
        <f>IFERROR('Historical FS'!I83/'Historical FS'!I53,0)</f>
        <v>0</v>
      </c>
      <c r="J40" s="44">
        <f>IFERROR('Historical FS'!J83/'Historical FS'!J53,0)</f>
        <v>7.7133269415148611</v>
      </c>
      <c r="K40" s="44">
        <f>IFERROR('Historical FS'!K83/'Historical FS'!K53,0)</f>
        <v>7.4085315832649714</v>
      </c>
      <c r="L40" s="44">
        <f>IFERROR('Historical FS'!L83/'Historical FS'!L53,0)</f>
        <v>11.308625336927223</v>
      </c>
      <c r="M40" s="43"/>
      <c r="N40" s="44">
        <f t="shared" si="2"/>
        <v>19.460781768512099</v>
      </c>
      <c r="O40" s="44">
        <f t="shared" si="1"/>
        <v>9.510976139221043</v>
      </c>
    </row>
    <row r="41" spans="2:15" ht="15" thickTop="1" x14ac:dyDescent="0.3"/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3EA6C0B0-933F-42B3-881B-BC45F0A893CC}">
          <x14:colorSeries rgb="FF376092"/>
          <x14:colorNegative rgb="FFD00000"/>
          <x14:colorAxis rgb="FF000000"/>
          <x14:colorMarkers rgb="FF002060"/>
          <x14:colorFirst rgb="FFD00000"/>
          <x14:colorLast rgb="FFD00000"/>
          <x14:colorHigh rgb="FFD00000"/>
          <x14:colorLow rgb="FFD00000"/>
          <x14:sparklines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  <x14:sparklineGroup displayEmptyCellsAs="gap" markers="1" xr2:uid="{E8E8ED5C-B822-4DE3-962A-8D30FF649B75}">
          <x14:colorSeries rgb="FF376092"/>
          <x14:colorNegative rgb="FFD00000"/>
          <x14:colorAxis rgb="FF000000"/>
          <x14:colorMarkers rgb="FF002060"/>
          <x14:colorFirst rgb="FFD00000"/>
          <x14:colorLast rgb="FFD00000"/>
          <x14:colorHigh rgb="FFD00000"/>
          <x14:colorLow rgb="FFD00000"/>
          <x14:sparklines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</x14:sparklines>
        </x14:sparklineGroup>
        <x14:sparklineGroup displayEmptyCellsAs="gap" markers="1" xr2:uid="{E9094F7E-CB62-44CC-A02F-426AED9C3CE8}">
          <x14:colorSeries rgb="FF376092"/>
          <x14:colorNegative rgb="FFD00000"/>
          <x14:colorAxis rgb="FF000000"/>
          <x14:colorMarkers rgb="FF002060"/>
          <x14:colorFirst rgb="FFD00000"/>
          <x14:colorLast rgb="FFD00000"/>
          <x14:colorHigh rgb="FFD00000"/>
          <x14:colorLow rgb="FFD00000"/>
          <x14:sparklines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</x14:sparklines>
        </x14:sparklineGroup>
        <x14:sparklineGroup displayEmptyCellsAs="gap" markers="1" xr2:uid="{5E7D3B64-1ED1-49EF-81EB-CA4E8AA44ED9}">
          <x14:colorSeries rgb="FF376092"/>
          <x14:colorNegative rgb="FFD00000"/>
          <x14:colorAxis rgb="FF000000"/>
          <x14:colorMarkers rgb="FF002060"/>
          <x14:colorFirst rgb="FFD00000"/>
          <x14:colorLast rgb="FFD00000"/>
          <x14:colorHigh rgb="FFD00000"/>
          <x14:colorLow rgb="FFD00000"/>
          <x14:sparklines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</x14:sparklines>
        </x14:sparklineGroup>
        <x14:sparklineGroup displayEmptyCellsAs="gap" markers="1" xr2:uid="{3296F5E6-A426-4C41-9033-3117E9FEE25C}">
          <x14:colorSeries rgb="FF376092"/>
          <x14:colorNegative rgb="FFD00000"/>
          <x14:colorAxis rgb="FF000000"/>
          <x14:colorMarkers rgb="FF002060"/>
          <x14:colorFirst rgb="FFD00000"/>
          <x14:colorLast rgb="FFD00000"/>
          <x14:colorHigh rgb="FFD00000"/>
          <x14:colorLow rgb="FFD00000"/>
          <x14:sparklines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</x14:sparklines>
        </x14:sparklineGroup>
        <x14:sparklineGroup displayEmptyCellsAs="gap" markers="1" xr2:uid="{F60158AD-2154-4E76-9A3C-7AC28551442E}">
          <x14:colorSeries rgb="FF376092"/>
          <x14:colorNegative rgb="FFD00000"/>
          <x14:colorAxis rgb="FF000000"/>
          <x14:colorMarkers rgb="FF002060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 xr2:uid="{82DAB0E1-5E80-4C1C-A6A2-7A423540561E}">
          <x14:colorSeries rgb="FF376092"/>
          <x14:colorNegative rgb="FFD00000"/>
          <x14:colorAxis rgb="FF000000"/>
          <x14:colorMarkers rgb="FF002060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5241-A516-4D02-A146-D9BF638837DA}">
  <dimension ref="B2:P29"/>
  <sheetViews>
    <sheetView tabSelected="1" zoomScale="85" zoomScaleNormal="85" workbookViewId="0">
      <selection activeCell="B2" sqref="B2:E2"/>
    </sheetView>
  </sheetViews>
  <sheetFormatPr defaultRowHeight="14.4" x14ac:dyDescent="0.3"/>
  <cols>
    <col min="1" max="1" width="1.88671875" customWidth="1"/>
    <col min="2" max="2" width="11.88671875" bestFit="1" customWidth="1"/>
    <col min="3" max="3" width="9.44140625" customWidth="1"/>
    <col min="4" max="4" width="8.21875" bestFit="1" customWidth="1"/>
    <col min="5" max="5" width="12.6640625" bestFit="1" customWidth="1"/>
    <col min="6" max="6" width="2.77734375" customWidth="1"/>
    <col min="7" max="7" width="13.6640625" customWidth="1"/>
    <col min="8" max="8" width="8" customWidth="1"/>
    <col min="9" max="9" width="8.21875" bestFit="1" customWidth="1"/>
    <col min="10" max="10" width="17.33203125" customWidth="1"/>
    <col min="11" max="11" width="2.77734375" customWidth="1"/>
    <col min="12" max="12" width="14.44140625" customWidth="1"/>
    <col min="13" max="13" width="12.44140625" customWidth="1"/>
    <col min="14" max="14" width="10.44140625" customWidth="1"/>
    <col min="15" max="15" width="14.77734375" customWidth="1"/>
  </cols>
  <sheetData>
    <row r="2" spans="2:15" x14ac:dyDescent="0.3">
      <c r="B2" s="51" t="str">
        <f>'Data Sheet'!B1&amp;" - "&amp;'Data Sheet'!A17&amp;" FORCASTING"</f>
        <v>HINDUSTAN UNILEVER LTD - Sales FORCASTING</v>
      </c>
      <c r="C2" s="51"/>
      <c r="D2" s="51"/>
      <c r="E2" s="51"/>
      <c r="F2" s="27"/>
      <c r="G2" s="51" t="str">
        <f>'Data Sheet'!B1&amp;" - "&amp;'Data Sheet'!A34&amp; " FORCASTING"</f>
        <v>HINDUSTAN UNILEVER LTD - EBITDA FORCASTING</v>
      </c>
      <c r="H2" s="51"/>
      <c r="I2" s="51"/>
      <c r="J2" s="51"/>
      <c r="K2" s="27"/>
      <c r="L2" s="51" t="str">
        <f>'Data Sheet'!B1&amp;" - "&amp;'Historical FS'!B41&amp; " FORCASTING"</f>
        <v>HINDUSTAN UNILEVER LTD - Earning per Share FORCASTING</v>
      </c>
      <c r="M2" s="51"/>
      <c r="N2" s="51"/>
      <c r="O2" s="51"/>
    </row>
    <row r="3" spans="2:15" x14ac:dyDescent="0.3">
      <c r="B3" s="55" t="s">
        <v>160</v>
      </c>
      <c r="C3" s="56" t="s">
        <v>161</v>
      </c>
      <c r="D3" s="56" t="s">
        <v>34</v>
      </c>
      <c r="E3" s="56" t="s">
        <v>60</v>
      </c>
      <c r="F3" s="50"/>
      <c r="G3" s="55" t="s">
        <v>160</v>
      </c>
      <c r="H3" s="56" t="s">
        <v>161</v>
      </c>
      <c r="I3" s="56" t="s">
        <v>34</v>
      </c>
      <c r="J3" s="56" t="s">
        <v>60</v>
      </c>
      <c r="K3" s="50"/>
      <c r="L3" s="55" t="s">
        <v>160</v>
      </c>
      <c r="M3" s="56" t="s">
        <v>161</v>
      </c>
      <c r="N3" s="56" t="s">
        <v>34</v>
      </c>
      <c r="O3" s="56" t="s">
        <v>60</v>
      </c>
    </row>
    <row r="4" spans="2:15" x14ac:dyDescent="0.3">
      <c r="B4" s="18">
        <v>1</v>
      </c>
      <c r="C4" s="60">
        <f>'Data Sheet'!B16</f>
        <v>42094</v>
      </c>
      <c r="D4" s="57">
        <f t="array" ref="D4:D13">TRANSPOSE('Data Sheet'!B17:K17)</f>
        <v>31972.19</v>
      </c>
      <c r="E4" s="50"/>
      <c r="G4" s="18">
        <v>1</v>
      </c>
      <c r="H4" s="60">
        <f>'Data Sheet'!B16</f>
        <v>42094</v>
      </c>
      <c r="I4" s="57">
        <f t="array" ref="I4:I13">TRANSPOSE('Data Sheet'!B34:K34)</f>
        <v>6647.17</v>
      </c>
      <c r="J4" s="50"/>
      <c r="L4" s="18">
        <v>1</v>
      </c>
      <c r="M4" s="60">
        <f>'Data Sheet'!B16</f>
        <v>42094</v>
      </c>
      <c r="N4" s="57">
        <f t="array" ref="N4:N13">TRANSPOSE('Historical FS'!C41:L41)</f>
        <v>14.459579385255378</v>
      </c>
      <c r="O4" s="50"/>
    </row>
    <row r="5" spans="2:15" x14ac:dyDescent="0.3">
      <c r="B5" s="18">
        <f>B4+1</f>
        <v>2</v>
      </c>
      <c r="C5" s="60">
        <f>C4+365</f>
        <v>42459</v>
      </c>
      <c r="D5" s="57">
        <v>32186</v>
      </c>
      <c r="E5" s="36">
        <f>D5/D4-1</f>
        <v>6.6873742461808217E-3</v>
      </c>
      <c r="G5" s="18">
        <f>G4+1</f>
        <v>2</v>
      </c>
      <c r="H5" s="60">
        <f>H4+365</f>
        <v>42459</v>
      </c>
      <c r="I5" s="57">
        <v>6396</v>
      </c>
      <c r="J5" s="36">
        <f>I5/I4-1</f>
        <v>-3.7786005172125936E-2</v>
      </c>
      <c r="L5" s="18">
        <f>L4+1</f>
        <v>2</v>
      </c>
      <c r="M5" s="60">
        <f>M4+365</f>
        <v>42459</v>
      </c>
      <c r="N5" s="57">
        <v>16.937011876704101</v>
      </c>
      <c r="O5" s="36">
        <f>N5/N4-1</f>
        <v>0.17133503163826425</v>
      </c>
    </row>
    <row r="6" spans="2:15" x14ac:dyDescent="0.3">
      <c r="B6" s="18">
        <f>B5+1</f>
        <v>3</v>
      </c>
      <c r="C6" s="60">
        <f t="shared" ref="C6:C18" si="0">C5+365</f>
        <v>42824</v>
      </c>
      <c r="D6" s="57">
        <v>33162</v>
      </c>
      <c r="E6" s="36">
        <f t="shared" ref="E6:E18" si="1">D6/D5-1</f>
        <v>3.03237432424035E-2</v>
      </c>
      <c r="G6" s="18">
        <f>G5+1</f>
        <v>3</v>
      </c>
      <c r="H6" s="60">
        <f t="shared" ref="H6:H18" si="2">H5+365</f>
        <v>42824</v>
      </c>
      <c r="I6" s="57">
        <v>6920</v>
      </c>
      <c r="J6" s="36">
        <f t="shared" ref="J6:J18" si="3">I6/I5-1</f>
        <v>8.1926203877423331E-2</v>
      </c>
      <c r="L6" s="18">
        <f>L5+1</f>
        <v>3</v>
      </c>
      <c r="M6" s="60">
        <f t="shared" ref="M6:M18" si="4">M5+365</f>
        <v>42824</v>
      </c>
      <c r="N6" s="57">
        <v>17.945756133622879</v>
      </c>
      <c r="O6" s="36">
        <f t="shared" ref="O6:O18" si="5">N6/N5-1</f>
        <v>5.9558572920778818E-2</v>
      </c>
    </row>
    <row r="7" spans="2:15" x14ac:dyDescent="0.3">
      <c r="B7" s="18">
        <f>B6+1</f>
        <v>4</v>
      </c>
      <c r="C7" s="60">
        <f t="shared" si="0"/>
        <v>43189</v>
      </c>
      <c r="D7" s="57">
        <v>35545</v>
      </c>
      <c r="E7" s="36">
        <f t="shared" si="1"/>
        <v>7.1859357095470644E-2</v>
      </c>
      <c r="G7" s="18">
        <f>G6+1</f>
        <v>4</v>
      </c>
      <c r="H7" s="60">
        <f t="shared" si="2"/>
        <v>43189</v>
      </c>
      <c r="I7" s="57">
        <v>7839</v>
      </c>
      <c r="J7" s="36">
        <f t="shared" si="3"/>
        <v>0.13280346820809252</v>
      </c>
      <c r="L7" s="18">
        <f>L6+1</f>
        <v>4</v>
      </c>
      <c r="M7" s="60">
        <f t="shared" si="4"/>
        <v>43189</v>
      </c>
      <c r="N7" s="57">
        <v>22.51790251790252</v>
      </c>
      <c r="O7" s="36">
        <f t="shared" si="5"/>
        <v>0.25477591193348159</v>
      </c>
    </row>
    <row r="8" spans="2:15" x14ac:dyDescent="0.3">
      <c r="B8" s="18">
        <f>B7+1</f>
        <v>5</v>
      </c>
      <c r="C8" s="60">
        <f t="shared" si="0"/>
        <v>43554</v>
      </c>
      <c r="D8" s="57">
        <v>39310</v>
      </c>
      <c r="E8" s="36">
        <f t="shared" si="1"/>
        <v>0.1059220706147137</v>
      </c>
      <c r="G8" s="18">
        <f>G7+1</f>
        <v>5</v>
      </c>
      <c r="H8" s="60">
        <f t="shared" si="2"/>
        <v>43554</v>
      </c>
      <c r="I8" s="57">
        <v>9196</v>
      </c>
      <c r="J8" s="36">
        <f t="shared" si="3"/>
        <v>0.17310881489985963</v>
      </c>
      <c r="L8" s="18">
        <f>L7+1</f>
        <v>5</v>
      </c>
      <c r="M8" s="60">
        <f t="shared" si="4"/>
        <v>43554</v>
      </c>
      <c r="N8" s="57">
        <v>26.507137247655564</v>
      </c>
      <c r="O8" s="36">
        <f t="shared" si="5"/>
        <v>0.17715836217789205</v>
      </c>
    </row>
    <row r="9" spans="2:15" x14ac:dyDescent="0.3">
      <c r="B9" s="18">
        <f>B8+1</f>
        <v>6</v>
      </c>
      <c r="C9" s="60">
        <f t="shared" si="0"/>
        <v>43919</v>
      </c>
      <c r="D9" s="57">
        <v>39783</v>
      </c>
      <c r="E9" s="36">
        <f t="shared" si="1"/>
        <v>1.2032561689137689E-2</v>
      </c>
      <c r="G9" s="18">
        <f>G8+1</f>
        <v>6</v>
      </c>
      <c r="H9" s="60">
        <f t="shared" si="2"/>
        <v>43919</v>
      </c>
      <c r="I9" s="57">
        <v>10277</v>
      </c>
      <c r="J9" s="36">
        <f t="shared" si="3"/>
        <v>0.11755110917790335</v>
      </c>
      <c r="L9" s="18">
        <f>L8+1</f>
        <v>6</v>
      </c>
      <c r="M9" s="60">
        <f t="shared" si="4"/>
        <v>43919</v>
      </c>
      <c r="N9" s="57">
        <v>29.249815225424982</v>
      </c>
      <c r="O9" s="36">
        <f t="shared" si="5"/>
        <v>0.10346941475213423</v>
      </c>
    </row>
    <row r="10" spans="2:15" x14ac:dyDescent="0.3">
      <c r="B10" s="18">
        <f>B9+1</f>
        <v>7</v>
      </c>
      <c r="C10" s="60">
        <f t="shared" si="0"/>
        <v>44284</v>
      </c>
      <c r="D10" s="57">
        <v>47028</v>
      </c>
      <c r="E10" s="36">
        <f t="shared" si="1"/>
        <v>0.18211296282331646</v>
      </c>
      <c r="G10" s="18">
        <f>G9+1</f>
        <v>7</v>
      </c>
      <c r="H10" s="60">
        <f t="shared" si="2"/>
        <v>44284</v>
      </c>
      <c r="I10" s="57">
        <v>11792</v>
      </c>
      <c r="J10" s="36">
        <f t="shared" si="3"/>
        <v>0.14741656125328406</v>
      </c>
      <c r="L10" s="18">
        <f>L9+1</f>
        <v>7</v>
      </c>
      <c r="M10" s="60">
        <f t="shared" si="4"/>
        <v>44284</v>
      </c>
      <c r="N10" s="57">
        <v>33.320565202587673</v>
      </c>
      <c r="O10" s="36">
        <f t="shared" si="5"/>
        <v>0.1391718185496178</v>
      </c>
    </row>
    <row r="11" spans="2:15" x14ac:dyDescent="0.3">
      <c r="B11" s="18">
        <f>B10+1</f>
        <v>8</v>
      </c>
      <c r="C11" s="60">
        <f t="shared" si="0"/>
        <v>44649</v>
      </c>
      <c r="D11" s="57">
        <v>52446</v>
      </c>
      <c r="E11" s="36">
        <f t="shared" si="1"/>
        <v>0.11520796121459553</v>
      </c>
      <c r="G11" s="18">
        <f>G10+1</f>
        <v>8</v>
      </c>
      <c r="H11" s="60">
        <f t="shared" si="2"/>
        <v>44649</v>
      </c>
      <c r="I11" s="57">
        <v>13063</v>
      </c>
      <c r="J11" s="36">
        <f t="shared" si="3"/>
        <v>0.10778493894165542</v>
      </c>
      <c r="L11" s="18">
        <f>L10+1</f>
        <v>8</v>
      </c>
      <c r="M11" s="60">
        <f t="shared" si="4"/>
        <v>44649</v>
      </c>
      <c r="N11" s="57">
        <v>36.912665985699689</v>
      </c>
      <c r="O11" s="36">
        <f t="shared" si="5"/>
        <v>0.10780431728190054</v>
      </c>
    </row>
    <row r="12" spans="2:15" x14ac:dyDescent="0.3">
      <c r="B12" s="18">
        <f>B11+1</f>
        <v>9</v>
      </c>
      <c r="C12" s="60">
        <f t="shared" si="0"/>
        <v>45014</v>
      </c>
      <c r="D12" s="57">
        <v>60580</v>
      </c>
      <c r="E12" s="36">
        <f t="shared" si="1"/>
        <v>0.15509285741524614</v>
      </c>
      <c r="G12" s="18">
        <f>G11+1</f>
        <v>9</v>
      </c>
      <c r="H12" s="60">
        <f t="shared" si="2"/>
        <v>45014</v>
      </c>
      <c r="I12" s="57">
        <v>14572</v>
      </c>
      <c r="J12" s="36">
        <f t="shared" si="3"/>
        <v>0.11551710939294191</v>
      </c>
      <c r="L12" s="18">
        <f>L11+1</f>
        <v>9</v>
      </c>
      <c r="M12" s="60">
        <f t="shared" si="4"/>
        <v>45014</v>
      </c>
      <c r="N12" s="57">
        <v>41.262342526387471</v>
      </c>
      <c r="O12" s="36">
        <f t="shared" si="5"/>
        <v>0.11783696529459253</v>
      </c>
    </row>
    <row r="13" spans="2:15" x14ac:dyDescent="0.3">
      <c r="B13" s="18">
        <f>B12+1</f>
        <v>10</v>
      </c>
      <c r="C13" s="60">
        <f t="shared" si="0"/>
        <v>45379</v>
      </c>
      <c r="D13" s="57">
        <v>61896</v>
      </c>
      <c r="E13" s="36">
        <f t="shared" si="1"/>
        <v>2.1723341036645749E-2</v>
      </c>
      <c r="G13" s="18">
        <f>G12+1</f>
        <v>10</v>
      </c>
      <c r="H13" s="60">
        <f t="shared" si="2"/>
        <v>45379</v>
      </c>
      <c r="I13" s="57">
        <v>15471</v>
      </c>
      <c r="J13" s="36">
        <f t="shared" si="3"/>
        <v>6.1693659072193263E-2</v>
      </c>
      <c r="L13" s="18">
        <f>L12+1</f>
        <v>10</v>
      </c>
      <c r="M13" s="60">
        <f t="shared" si="4"/>
        <v>45379</v>
      </c>
      <c r="N13" s="57">
        <v>40.283452502553622</v>
      </c>
      <c r="O13" s="36">
        <f t="shared" si="5"/>
        <v>-2.3723568849922771E-2</v>
      </c>
    </row>
    <row r="14" spans="2:15" x14ac:dyDescent="0.3">
      <c r="B14" s="61">
        <f>B13+1</f>
        <v>11</v>
      </c>
      <c r="C14" s="62">
        <f t="shared" si="0"/>
        <v>45744</v>
      </c>
      <c r="D14" s="63">
        <f>FORECAST(B14,$D$4:$D$13,$B$4:$B$13)</f>
        <v>63371.295333333335</v>
      </c>
      <c r="E14" s="64">
        <f t="shared" si="1"/>
        <v>2.3835067424927914E-2</v>
      </c>
      <c r="G14" s="61">
        <f>G13+1</f>
        <v>11</v>
      </c>
      <c r="H14" s="62">
        <f t="shared" si="2"/>
        <v>45744</v>
      </c>
      <c r="I14" s="63">
        <f>FORECAST(G14,$I$4:$I$13,$G$4:$G$13)</f>
        <v>16227.366000000002</v>
      </c>
      <c r="J14" s="64">
        <f t="shared" si="3"/>
        <v>4.8889276711266305E-2</v>
      </c>
      <c r="L14" s="61">
        <f>L13+1</f>
        <v>11</v>
      </c>
      <c r="M14" s="62">
        <f t="shared" si="4"/>
        <v>45744</v>
      </c>
      <c r="N14" s="63">
        <f>FORECAST(L14,$N$4:$N$13,$L$4:$L$13)</f>
        <v>45.695535790235276</v>
      </c>
      <c r="O14" s="64">
        <f t="shared" si="5"/>
        <v>0.13435003584507998</v>
      </c>
    </row>
    <row r="15" spans="2:15" x14ac:dyDescent="0.3">
      <c r="B15" s="61">
        <f>B14+1</f>
        <v>12</v>
      </c>
      <c r="C15" s="62">
        <f t="shared" si="0"/>
        <v>46109</v>
      </c>
      <c r="D15" s="63">
        <f>FORECAST(B15,$D$4:$D$13,$B$4:$B$13)</f>
        <v>67004.109212121228</v>
      </c>
      <c r="E15" s="64">
        <f t="shared" si="1"/>
        <v>5.732585801945933E-2</v>
      </c>
      <c r="G15" s="61">
        <f>G14+1</f>
        <v>12</v>
      </c>
      <c r="H15" s="62">
        <f t="shared" si="2"/>
        <v>46109</v>
      </c>
      <c r="I15" s="63">
        <f t="shared" ref="I15:I18" si="6">FORECAST(G15,$I$4:$I$13,$G$4:$G$13)</f>
        <v>17320.102181818183</v>
      </c>
      <c r="J15" s="64">
        <f t="shared" si="3"/>
        <v>6.7339097535495274E-2</v>
      </c>
      <c r="L15" s="61">
        <f>L14+1</f>
        <v>12</v>
      </c>
      <c r="M15" s="62">
        <f t="shared" si="4"/>
        <v>46109</v>
      </c>
      <c r="N15" s="63">
        <f t="shared" ref="N15:N18" si="7">FORECAST(L15,$N$4:$N$13,$L$4:$L$13)</f>
        <v>48.923883595663618</v>
      </c>
      <c r="O15" s="64">
        <f t="shared" si="5"/>
        <v>7.0649085290257485E-2</v>
      </c>
    </row>
    <row r="16" spans="2:15" x14ac:dyDescent="0.3">
      <c r="B16" s="61">
        <f>B15+1</f>
        <v>13</v>
      </c>
      <c r="C16" s="62">
        <f t="shared" si="0"/>
        <v>46474</v>
      </c>
      <c r="D16" s="63">
        <f>FORECAST(B16,$D$4:$D$13,$B$4:$B$13)</f>
        <v>70636.923090909098</v>
      </c>
      <c r="E16" s="64">
        <f t="shared" si="1"/>
        <v>5.4217777409548473E-2</v>
      </c>
      <c r="G16" s="61">
        <f>G15+1</f>
        <v>13</v>
      </c>
      <c r="H16" s="62">
        <f t="shared" si="2"/>
        <v>46474</v>
      </c>
      <c r="I16" s="63">
        <f t="shared" si="6"/>
        <v>18412.838363636365</v>
      </c>
      <c r="J16" s="64">
        <f t="shared" si="3"/>
        <v>6.3090631356972349E-2</v>
      </c>
      <c r="L16" s="61">
        <f>L15+1</f>
        <v>13</v>
      </c>
      <c r="M16" s="62">
        <f t="shared" si="4"/>
        <v>46474</v>
      </c>
      <c r="N16" s="63">
        <f t="shared" si="7"/>
        <v>52.15223140109196</v>
      </c>
      <c r="O16" s="64">
        <f t="shared" si="5"/>
        <v>6.5987153270769427E-2</v>
      </c>
    </row>
    <row r="17" spans="2:16" x14ac:dyDescent="0.3">
      <c r="B17" s="61">
        <f>B16+1</f>
        <v>14</v>
      </c>
      <c r="C17" s="62">
        <f t="shared" si="0"/>
        <v>46839</v>
      </c>
      <c r="D17" s="63">
        <f>FORECAST(B17,$D$4:$D$13,$B$4:$B$13)</f>
        <v>74269.736969696969</v>
      </c>
      <c r="E17" s="64">
        <f t="shared" si="1"/>
        <v>5.1429390180436796E-2</v>
      </c>
      <c r="G17" s="61">
        <f>G16+1</f>
        <v>14</v>
      </c>
      <c r="H17" s="62">
        <f t="shared" si="2"/>
        <v>46839</v>
      </c>
      <c r="I17" s="63">
        <f t="shared" si="6"/>
        <v>19505.574545454547</v>
      </c>
      <c r="J17" s="64">
        <f t="shared" si="3"/>
        <v>5.9346427760764708E-2</v>
      </c>
      <c r="L17" s="61">
        <f>L16+1</f>
        <v>14</v>
      </c>
      <c r="M17" s="62">
        <f t="shared" si="4"/>
        <v>46839</v>
      </c>
      <c r="N17" s="63">
        <f t="shared" si="7"/>
        <v>55.380579206520309</v>
      </c>
      <c r="O17" s="64">
        <f t="shared" si="5"/>
        <v>6.1902390726099377E-2</v>
      </c>
    </row>
    <row r="18" spans="2:16" x14ac:dyDescent="0.3">
      <c r="B18" s="61">
        <f>B17+1</f>
        <v>15</v>
      </c>
      <c r="C18" s="62">
        <f t="shared" si="0"/>
        <v>47204</v>
      </c>
      <c r="D18" s="63">
        <f>FORECAST(B18,$D$4:$D$13,$B$4:$B$13)</f>
        <v>77902.550848484854</v>
      </c>
      <c r="E18" s="64">
        <f t="shared" si="1"/>
        <v>4.8913784093110868E-2</v>
      </c>
      <c r="G18" s="61">
        <f>G17+1</f>
        <v>15</v>
      </c>
      <c r="H18" s="62">
        <f t="shared" si="2"/>
        <v>47204</v>
      </c>
      <c r="I18" s="63">
        <f t="shared" si="6"/>
        <v>20598.310727272728</v>
      </c>
      <c r="J18" s="64">
        <f t="shared" si="3"/>
        <v>5.6021737748444211E-2</v>
      </c>
      <c r="L18" s="61">
        <f>L17+1</f>
        <v>15</v>
      </c>
      <c r="M18" s="62">
        <f t="shared" si="4"/>
        <v>47204</v>
      </c>
      <c r="N18" s="63">
        <f t="shared" si="7"/>
        <v>58.608927011948651</v>
      </c>
      <c r="O18" s="64">
        <f t="shared" si="5"/>
        <v>5.829386134423542E-2</v>
      </c>
    </row>
    <row r="19" spans="2:16" x14ac:dyDescent="0.3">
      <c r="B19" s="18"/>
      <c r="C19" s="58"/>
      <c r="H19" s="59"/>
      <c r="I19" s="59"/>
    </row>
    <row r="22" spans="2:16" x14ac:dyDescent="0.3">
      <c r="H22" s="65"/>
      <c r="I22" s="65"/>
      <c r="J22" s="65"/>
      <c r="K22" s="65"/>
      <c r="L22" s="65"/>
      <c r="M22" s="65"/>
    </row>
    <row r="23" spans="2:16" x14ac:dyDescent="0.3">
      <c r="H23" s="59"/>
      <c r="I23" s="59"/>
      <c r="J23" s="59"/>
      <c r="K23" s="59"/>
      <c r="L23" s="59"/>
      <c r="M23" s="59"/>
    </row>
    <row r="24" spans="2:16" x14ac:dyDescent="0.3">
      <c r="H24" s="59"/>
      <c r="I24" s="59"/>
      <c r="J24" s="59"/>
      <c r="K24" s="59"/>
      <c r="L24" s="59"/>
      <c r="M24" s="59"/>
    </row>
    <row r="25" spans="2:16" x14ac:dyDescent="0.3">
      <c r="H25" s="59"/>
      <c r="I25" s="59"/>
      <c r="J25" s="59"/>
      <c r="K25" s="59"/>
      <c r="L25" s="59"/>
      <c r="M25" s="59"/>
    </row>
    <row r="26" spans="2:16" x14ac:dyDescent="0.3">
      <c r="H26" s="66"/>
      <c r="I26" s="66"/>
      <c r="J26" s="66"/>
      <c r="K26" s="66"/>
      <c r="L26" s="66"/>
      <c r="M26" s="66"/>
      <c r="N26" s="66"/>
      <c r="O26" s="66"/>
      <c r="P26" s="66"/>
    </row>
    <row r="27" spans="2:16" x14ac:dyDescent="0.3">
      <c r="H27" s="65"/>
      <c r="I27" s="65"/>
      <c r="J27" s="65"/>
      <c r="K27" s="65"/>
      <c r="L27" s="65"/>
      <c r="M27" s="65"/>
      <c r="N27" s="65"/>
      <c r="O27" s="65"/>
      <c r="P27" s="65"/>
    </row>
    <row r="28" spans="2:16" x14ac:dyDescent="0.3">
      <c r="H28" s="59"/>
      <c r="I28" s="59"/>
      <c r="J28" s="59"/>
      <c r="K28" s="59"/>
      <c r="L28" s="59"/>
      <c r="M28" s="59"/>
      <c r="N28" s="59"/>
      <c r="O28" s="59"/>
      <c r="P28" s="59"/>
    </row>
    <row r="29" spans="2:16" x14ac:dyDescent="0.3">
      <c r="H29" s="59"/>
      <c r="I29" s="59"/>
      <c r="J29" s="59"/>
      <c r="K29" s="59"/>
      <c r="L29" s="59"/>
      <c r="M29" s="59"/>
      <c r="N29" s="59"/>
      <c r="O29" s="59"/>
      <c r="P29" s="59"/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Cash Flow Data</vt:lpstr>
      <vt:lpstr>Data Sheet</vt:lpstr>
      <vt:lpstr>Historical FS</vt:lpstr>
      <vt:lpstr>Ratio Analysis</vt:lpstr>
      <vt:lpstr>Sheet1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Razzaque</dc:creator>
  <cp:lastModifiedBy>Abdur Razzaque</cp:lastModifiedBy>
  <dcterms:created xsi:type="dcterms:W3CDTF">2025-01-19T23:11:06Z</dcterms:created>
  <dcterms:modified xsi:type="dcterms:W3CDTF">2025-03-26T03:23:33Z</dcterms:modified>
</cp:coreProperties>
</file>