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5" documentId="8_{3A621857-8B94-4283-A55A-07BCA84D0298}" xr6:coauthVersionLast="47" xr6:coauthVersionMax="47" xr10:uidLastSave="{3106EFB3-44A1-485B-8AA3-EDDCD2B1E0CC}"/>
  <bookViews>
    <workbookView xWindow="-108" yWindow="-108" windowWidth="23256" windowHeight="12576" tabRatio="912" firstSheet="2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r:id="rId5"/>
    <sheet name="Patrimoine social" sheetId="18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alcul IR 2" sheetId="13" state="hidden" r:id="rId11"/>
    <sheet name="Impôt 2021 revenus 2020" sheetId="14" state="hidden" r:id="rId12"/>
    <sheet name="Calcul IR Bis Retraite" sheetId="15" state="hidden" r:id="rId13"/>
    <sheet name="Impôt Retraite" sheetId="16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4" l="1"/>
  <c r="D47" i="4"/>
  <c r="I29" i="4"/>
  <c r="E8" i="10" l="1"/>
  <c r="E15" i="10" l="1"/>
  <c r="E16" i="10"/>
  <c r="E17" i="10"/>
  <c r="E14" i="10"/>
  <c r="F22" i="10" l="1"/>
  <c r="I26" i="4" l="1"/>
  <c r="I12" i="4"/>
  <c r="F29" i="4"/>
  <c r="I27" i="4"/>
  <c r="H14" i="1"/>
  <c r="H9" i="1"/>
  <c r="I14" i="4"/>
  <c r="I13" i="4"/>
  <c r="C4" i="14" l="1"/>
  <c r="C3" i="14" l="1"/>
  <c r="O30" i="13" s="1"/>
  <c r="E8" i="13" l="1"/>
  <c r="E7" i="13" l="1"/>
  <c r="G26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8" i="1"/>
  <c r="H13" i="1"/>
  <c r="J3" i="15" l="1"/>
  <c r="D22" i="10"/>
  <c r="J3" i="13"/>
  <c r="I10" i="13" s="1"/>
  <c r="F36" i="13"/>
  <c r="F37" i="13"/>
  <c r="C8" i="14" l="1"/>
  <c r="I33" i="13"/>
  <c r="G24" i="1" l="1"/>
  <c r="H19" i="1" l="1"/>
  <c r="H20" i="1" s="1"/>
  <c r="D29" i="4" s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C12" i="14" s="1"/>
  <c r="F27" i="13"/>
  <c r="F28" i="13"/>
  <c r="I40" i="13" l="1"/>
  <c r="I41" i="13" s="1"/>
  <c r="H25" i="1"/>
  <c r="I21" i="13"/>
  <c r="C13" i="14" l="1"/>
  <c r="I22" i="13"/>
  <c r="C14" i="14" l="1"/>
  <c r="D14" i="14" s="1"/>
  <c r="G25" i="1" s="1"/>
  <c r="C30" i="10" s="1"/>
  <c r="I10" i="15" l="1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4" i="16" s="1"/>
  <c r="C13" i="16"/>
  <c r="I22" i="15"/>
  <c r="D14" i="16" l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<sst xmlns="http://schemas.openxmlformats.org/spreadsheetml/2006/main" count="346" uniqueCount="232">
  <si>
    <t>AUDIT PATRIMONIAL</t>
  </si>
  <si>
    <t>02/12/21</t>
  </si>
  <si>
    <t>Hervé Ancelin</t>
  </si>
  <si>
    <t>ÉTAT CIVIL</t>
  </si>
  <si>
    <t>RÉMUNÉRATION</t>
  </si>
  <si>
    <t>M.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</si>
  <si>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</si>
  <si>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</si>
  <si>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</si>
  <si>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</si>
  <si>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</si>
  <si>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</si>
  <si>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</si>
  <si>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</si>
  <si>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Responsable sécurité/qualité/environnement (3,5 ans)</t>
  </si>
  <si>
    <t>Dividendes</t>
  </si>
  <si>
    <t>Type de contrat/Société</t>
  </si>
  <si>
    <t>CDI/SRI</t>
  </si>
  <si>
    <t>BNC</t>
  </si>
  <si>
    <t>Mme.</t>
  </si>
  <si>
    <t xml:space="preserve">Situation maritale </t>
  </si>
  <si>
    <t>Marié-Pacsé</t>
  </si>
  <si>
    <t>Autres revenus</t>
  </si>
  <si>
    <t>Loyers</t>
  </si>
  <si>
    <t>B/D foncier</t>
  </si>
  <si>
    <t xml:space="preserve">Régime matrimonial </t>
  </si>
  <si>
    <t>Indivision Pacsale</t>
  </si>
  <si>
    <t>Situation particulière</t>
  </si>
  <si>
    <t>LMNP</t>
  </si>
  <si>
    <t>Garde</t>
  </si>
  <si>
    <t>REVENUS NETS |</t>
  </si>
  <si>
    <t>ENFANTS</t>
  </si>
  <si>
    <t>IMPOSITION</t>
  </si>
  <si>
    <t>Prénoms</t>
  </si>
  <si>
    <t>Âge</t>
  </si>
  <si>
    <t>Commentaire</t>
  </si>
  <si>
    <t>RIG</t>
  </si>
  <si>
    <t>TMI</t>
  </si>
  <si>
    <t>Impôt sur le revenu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</si>
  <si>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</si>
  <si>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</si>
  <si>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</si>
  <si>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</si>
  <si>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</si>
  <si>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</si>
  <si>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</si>
  <si>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</si>
  <si>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</si>
  <si>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</si>
  <si>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</si>
  <si>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</si>
  <si>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</si>
  <si>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</si>
  <si>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Séparation avec Part aux acquêts</t>
  </si>
  <si>
    <t>Régime Légal du PACS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</si>
  <si>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</si>
  <si>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</si>
  <si>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</si>
  <si>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</si>
  <si>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</si>
  <si>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</si>
  <si>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</si>
  <si>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Mensualité ou Loyer payé</t>
  </si>
  <si>
    <t>Marseille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</si>
  <si>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</si>
  <si>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</si>
  <si>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</si>
  <si>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</si>
  <si>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</si>
  <si>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</si>
  <si>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</si>
  <si>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AUTRE EMPRUNTS</t>
  </si>
  <si>
    <t>Destination</t>
  </si>
  <si>
    <t>Montant</t>
  </si>
  <si>
    <t>Taux</t>
  </si>
  <si>
    <t>Batterie Électrique</t>
  </si>
  <si>
    <t>2024</t>
  </si>
  <si>
    <t>PROJETS</t>
  </si>
  <si>
    <t>Type</t>
  </si>
  <si>
    <t>Valeur d'achat</t>
  </si>
  <si>
    <t>TAUX D'ENDETTEMENT ACTUEL</t>
  </si>
  <si>
    <t>PATRIMOINE FINANCIER</t>
  </si>
  <si>
    <t>NOM</t>
  </si>
  <si>
    <t>Rentabilité</t>
  </si>
  <si>
    <t>Risque (1-5)</t>
  </si>
  <si>
    <t>Disponible</t>
  </si>
  <si>
    <t>Gestionnaire</t>
  </si>
  <si>
    <t>Gestion</t>
  </si>
  <si>
    <t>Objectif</t>
  </si>
  <si>
    <t>LIQUIDITÉS</t>
  </si>
  <si>
    <t>Compte Courant</t>
  </si>
  <si>
    <t>Boursorama</t>
  </si>
  <si>
    <t>Libre</t>
  </si>
  <si>
    <t>Matelas de sécurité</t>
  </si>
  <si>
    <t>CE</t>
  </si>
  <si>
    <t>PLACEMENTS FINANCIERS</t>
  </si>
  <si>
    <t>PEA</t>
  </si>
  <si>
    <t>AUTRES</t>
  </si>
  <si>
    <t>CAPACITÉ INVESTISSEMENT</t>
  </si>
  <si>
    <t>PATRIMOINE TOTAL</t>
  </si>
  <si>
    <t>PREVISION A LA RETRAITE</t>
  </si>
  <si>
    <t>Charges</t>
  </si>
  <si>
    <t>Loyer payé</t>
  </si>
  <si>
    <t>Bien</t>
  </si>
  <si>
    <t>Loyer perçu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</si>
  <si>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</si>
  <si>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</si>
  <si>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</si>
  <si>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</si>
  <si>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</si>
  <si>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</si>
  <si>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</si>
  <si>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</si>
  <si>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</si>
  <si>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</si>
  <si>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</si>
  <si>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</si>
  <si>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</si>
  <si>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</si>
  <si>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</si>
  <si>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</si>
  <si>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</si>
  <si>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</si>
  <si>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</si>
  <si>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</si>
  <si>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Liquidités</t>
  </si>
  <si>
    <t>Livret A</t>
  </si>
  <si>
    <t>Placements financiers</t>
  </si>
  <si>
    <t>Assurance-vie</t>
  </si>
  <si>
    <t>Variable</t>
  </si>
  <si>
    <t>?</t>
  </si>
  <si>
    <t>UFI France</t>
  </si>
  <si>
    <t>Sous Mandat</t>
  </si>
  <si>
    <t>SCPI PRIMONIAL</t>
  </si>
  <si>
    <t>PER</t>
  </si>
  <si>
    <t>SWISSLIFE</t>
  </si>
  <si>
    <t>Autres</t>
  </si>
  <si>
    <t>Total disponible</t>
  </si>
  <si>
    <t>Capacité d'investissement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</si>
  <si>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</si>
  <si>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</si>
  <si>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</si>
  <si>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</si>
  <si>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</si>
  <si>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</si>
  <si>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Dynamiser</t>
  </si>
  <si>
    <t>LT</t>
  </si>
  <si>
    <t xml:space="preserve">L'épargne mensuelle croissante pour créer du capital de la manière la plus efficace possible </t>
  </si>
  <si>
    <t>Constituer</t>
  </si>
  <si>
    <t>Bâtir un patrimoine immobilier et financier</t>
  </si>
  <si>
    <t>Anticiper</t>
  </si>
  <si>
    <t>CT</t>
  </si>
  <si>
    <t>Les échéances à venir (projet professionnel et immobilier …)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</si>
  <si>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</si>
  <si>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</si>
  <si>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</si>
  <si>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</si>
  <si>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</si>
  <si>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</si>
  <si>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</si>
  <si>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</si>
  <si>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</si>
  <si>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</si>
  <si>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</si>
  <si>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</si>
  <si>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Nécessité d'augmenter rapidement la rentabilité des placements actuels</t>
  </si>
  <si>
    <t xml:space="preserve">Taux d'endettement non utilisé en totalité </t>
  </si>
  <si>
    <t>Capacité d'épargne sur plus de dix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</si>
  <si>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</si>
  <si>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</si>
  <si>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</si>
  <si>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</si>
  <si>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</si>
  <si>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</si>
  <si>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</si>
  <si>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</si>
  <si>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</si>
  <si>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</si>
  <si>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</si>
  <si>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</si>
  <si>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</si>
  <si>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</si>
  <si>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</si>
  <si>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</si>
  <si>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</si>
  <si>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</si>
  <si>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</si>
  <si>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</si>
  <si>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</si>
  <si>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</si>
  <si>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</si>
  <si>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</si>
  <si>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</si>
  <si>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</si>
  <si>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</si>
  <si>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</si>
  <si>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</si>
  <si>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</si>
  <si>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</si>
  <si>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</si>
  <si>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</si>
  <si>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</si>
  <si>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</si>
  <si>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</si>
  <si>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</si>
  <si>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</si>
  <si>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</si>
  <si>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</si>
  <si>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</si>
  <si>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</si>
  <si>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</si>
  <si>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</si>
  <si>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</si>
  <si>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</si>
  <si>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</si>
  <si>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</si>
  <si>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</si>
  <si>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</si>
  <si>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</si>
  <si>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</si>
  <si>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</si>
  <si>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</si>
  <si>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</si>
  <si>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</si>
  <si>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</si>
  <si>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</si>
  <si>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</si>
  <si>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</si>
  <si>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ne veut pas investir dans l'immoblier = invt maléfique</t>
  </si>
  <si>
    <t xml:space="preserve">AV SL </t>
  </si>
  <si>
    <t>Swisslife</t>
  </si>
  <si>
    <t>Concubinage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</si>
</sst>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  <numFmt numFmtId="167" formatCode="0.0%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0"/>
      <name val="Arial"/>
      <family val="2"/>
    </font>
    <font>
      <sz val="11"/>
      <color theme="4" tint="-0.499984740745262"/>
      <name val="Arial"/>
      <family val="2"/>
    </font>
    <font>
      <b/>
      <sz val="11"/>
      <color theme="3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7" tint="0.39997558519241921"/>
      <name val="Arial"/>
      <family val="2"/>
    </font>
    <font>
      <b/>
      <sz val="11"/>
      <color rgb="FFFFFFFF"/>
      <name val="Arial"/>
      <family val="2"/>
    </font>
    <font>
      <i/>
      <sz val="11"/>
      <color theme="0"/>
      <name val="Arial"/>
      <family val="2"/>
    </font>
    <font>
      <b/>
      <sz val="13"/>
      <color theme="4" tint="-0.499984740745262"/>
      <name val="Arial"/>
      <family val="2"/>
    </font>
    <font>
      <b/>
      <sz val="11"/>
      <color rgb="FFFFFF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4" tint="-0.499984740745262"/>
      <name val="Arial"/>
      <family val="2"/>
    </font>
    <font>
      <i/>
      <sz val="11"/>
      <color theme="1"/>
      <name val="Arial"/>
      <family val="2"/>
    </font>
    <font>
      <b/>
      <sz val="12"/>
      <color theme="7" tint="0.39997558519241921"/>
      <name val="Arial"/>
      <family val="2"/>
    </font>
    <font>
      <b/>
      <sz val="12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-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558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8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29" xfId="1" applyFont="1" applyFill="1" applyBorder="1" applyAlignment="1">
      <alignment horizontal="center"/>
    </xf>
    <xf numFmtId="44" fontId="3" fillId="2" borderId="28" xfId="1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49" fontId="0" fillId="0" borderId="0" xfId="0" applyNumberFormat="1"/>
    <xf numFmtId="44" fontId="0" fillId="5" borderId="12" xfId="1" applyFont="1" applyFill="1" applyBorder="1" applyProtection="1">
      <protection locked="0"/>
    </xf>
    <xf numFmtId="44" fontId="0" fillId="5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9" borderId="0" xfId="5" applyFill="1" applyProtection="1">
      <protection hidden="1"/>
    </xf>
    <xf numFmtId="0" fontId="1" fillId="9" borderId="17" xfId="5" applyFill="1" applyBorder="1" applyProtection="1">
      <protection hidden="1"/>
    </xf>
    <xf numFmtId="0" fontId="20" fillId="9" borderId="17" xfId="5" applyFont="1" applyFill="1" applyBorder="1" applyAlignment="1" applyProtection="1">
      <alignment horizontal="left" vertical="center"/>
      <protection hidden="1"/>
    </xf>
    <xf numFmtId="0" fontId="1" fillId="9" borderId="0" xfId="5" applyFill="1" applyAlignment="1" applyProtection="1">
      <alignment horizontal="left" vertical="center"/>
      <protection hidden="1"/>
    </xf>
    <xf numFmtId="0" fontId="21" fillId="10" borderId="1" xfId="5" applyFont="1" applyFill="1" applyBorder="1" applyAlignment="1" applyProtection="1">
      <alignment horizontal="center" vertical="center"/>
      <protection locked="0" hidden="1"/>
    </xf>
    <xf numFmtId="0" fontId="1" fillId="9" borderId="18" xfId="5" applyFill="1" applyBorder="1" applyProtection="1">
      <protection hidden="1"/>
    </xf>
    <xf numFmtId="0" fontId="21" fillId="10" borderId="43" xfId="5" applyFont="1" applyFill="1" applyBorder="1" applyAlignment="1" applyProtection="1">
      <alignment horizontal="center" vertical="center"/>
      <protection locked="0" hidden="1"/>
    </xf>
    <xf numFmtId="0" fontId="21" fillId="9" borderId="0" xfId="5" applyFont="1" applyFill="1" applyAlignment="1" applyProtection="1">
      <alignment horizontal="center" vertical="center"/>
      <protection hidden="1"/>
    </xf>
    <xf numFmtId="0" fontId="10" fillId="9" borderId="17" xfId="5" applyFont="1" applyFill="1" applyBorder="1" applyAlignment="1" applyProtection="1">
      <alignment horizontal="left" vertical="center"/>
      <protection hidden="1"/>
    </xf>
    <xf numFmtId="0" fontId="1" fillId="9" borderId="0" xfId="5" applyFill="1" applyAlignment="1" applyProtection="1">
      <alignment horizontal="center" vertical="center"/>
      <protection hidden="1"/>
    </xf>
    <xf numFmtId="0" fontId="12" fillId="9" borderId="17" xfId="5" applyFont="1" applyFill="1" applyBorder="1" applyAlignment="1" applyProtection="1">
      <alignment horizontal="left" vertical="center"/>
      <protection hidden="1"/>
    </xf>
    <xf numFmtId="0" fontId="22" fillId="9" borderId="0" xfId="5" applyFont="1" applyFill="1" applyAlignment="1" applyProtection="1">
      <alignment horizontal="left" vertical="center"/>
      <protection hidden="1"/>
    </xf>
    <xf numFmtId="0" fontId="12" fillId="9" borderId="0" xfId="5" applyFont="1" applyFill="1" applyAlignment="1" applyProtection="1">
      <alignment horizontal="center" vertical="center"/>
      <protection hidden="1"/>
    </xf>
    <xf numFmtId="0" fontId="23" fillId="9" borderId="17" xfId="5" applyFont="1" applyFill="1" applyBorder="1" applyAlignment="1" applyProtection="1">
      <alignment horizontal="left" vertical="center"/>
      <protection hidden="1"/>
    </xf>
    <xf numFmtId="0" fontId="23" fillId="9" borderId="0" xfId="5" applyFont="1" applyFill="1" applyAlignment="1" applyProtection="1">
      <alignment horizontal="left" vertical="center"/>
      <protection hidden="1"/>
    </xf>
    <xf numFmtId="0" fontId="25" fillId="9" borderId="17" xfId="5" applyFont="1" applyFill="1" applyBorder="1" applyAlignment="1" applyProtection="1">
      <alignment horizontal="left" vertical="center"/>
      <protection hidden="1"/>
    </xf>
    <xf numFmtId="0" fontId="25" fillId="9" borderId="0" xfId="5" applyFont="1" applyFill="1" applyAlignment="1" applyProtection="1">
      <alignment horizontal="left" vertical="center"/>
      <protection hidden="1"/>
    </xf>
    <xf numFmtId="164" fontId="25" fillId="9" borderId="0" xfId="5" applyNumberFormat="1" applyFont="1" applyFill="1" applyAlignment="1" applyProtection="1">
      <alignment horizontal="center" vertical="center"/>
      <protection hidden="1"/>
    </xf>
    <xf numFmtId="0" fontId="1" fillId="9" borderId="19" xfId="5" applyFill="1" applyBorder="1" applyProtection="1">
      <protection hidden="1"/>
    </xf>
    <xf numFmtId="0" fontId="1" fillId="9" borderId="20" xfId="5" applyFill="1" applyBorder="1" applyProtection="1">
      <protection hidden="1"/>
    </xf>
    <xf numFmtId="0" fontId="1" fillId="9" borderId="21" xfId="5" applyFill="1" applyBorder="1" applyProtection="1">
      <protection hidden="1"/>
    </xf>
    <xf numFmtId="44" fontId="23" fillId="9" borderId="0" xfId="1" applyFont="1" applyFill="1" applyAlignment="1" applyProtection="1">
      <alignment horizontal="center" vertical="center"/>
      <protection hidden="1"/>
    </xf>
    <xf numFmtId="0" fontId="11" fillId="5" borderId="15" xfId="3" applyFont="1" applyFill="1" applyBorder="1" applyProtection="1">
      <protection hidden="1"/>
    </xf>
    <xf numFmtId="0" fontId="11" fillId="5" borderId="16" xfId="3" applyFont="1" applyFill="1" applyBorder="1" applyProtection="1">
      <protection hidden="1"/>
    </xf>
    <xf numFmtId="0" fontId="11" fillId="5" borderId="0" xfId="3" applyFont="1" applyFill="1" applyProtection="1">
      <protection hidden="1"/>
    </xf>
    <xf numFmtId="0" fontId="11" fillId="5" borderId="18" xfId="3" applyFont="1" applyFill="1" applyBorder="1" applyProtection="1">
      <protection hidden="1"/>
    </xf>
    <xf numFmtId="0" fontId="11" fillId="5" borderId="19" xfId="3" applyFont="1" applyFill="1" applyBorder="1" applyProtection="1">
      <protection hidden="1"/>
    </xf>
    <xf numFmtId="0" fontId="11" fillId="5" borderId="20" xfId="3" applyFont="1" applyFill="1" applyBorder="1" applyProtection="1">
      <protection hidden="1"/>
    </xf>
    <xf numFmtId="0" fontId="11" fillId="5" borderId="21" xfId="3" applyFont="1" applyFill="1" applyBorder="1" applyProtection="1">
      <protection hidden="1"/>
    </xf>
    <xf numFmtId="0" fontId="14" fillId="5" borderId="14" xfId="3" applyFont="1" applyFill="1" applyBorder="1" applyProtection="1">
      <protection hidden="1"/>
    </xf>
    <xf numFmtId="0" fontId="14" fillId="5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5" fontId="11" fillId="0" borderId="0" xfId="1" applyNumberFormat="1" applyFont="1" applyProtection="1">
      <protection hidden="1"/>
    </xf>
    <xf numFmtId="0" fontId="11" fillId="12" borderId="6" xfId="3" applyFont="1" applyFill="1" applyBorder="1" applyProtection="1">
      <protection hidden="1"/>
    </xf>
    <xf numFmtId="0" fontId="11" fillId="12" borderId="7" xfId="3" applyFont="1" applyFill="1" applyBorder="1" applyProtection="1">
      <protection hidden="1"/>
    </xf>
    <xf numFmtId="0" fontId="11" fillId="12" borderId="8" xfId="3" applyFont="1" applyFill="1" applyBorder="1" applyProtection="1">
      <protection hidden="1"/>
    </xf>
    <xf numFmtId="44" fontId="11" fillId="12" borderId="9" xfId="1" applyFont="1" applyFill="1" applyBorder="1" applyProtection="1">
      <protection hidden="1"/>
    </xf>
    <xf numFmtId="44" fontId="11" fillId="12" borderId="1" xfId="1" applyFont="1" applyFill="1" applyBorder="1" applyProtection="1">
      <protection hidden="1"/>
    </xf>
    <xf numFmtId="44" fontId="11" fillId="12" borderId="10" xfId="1" applyFont="1" applyFill="1" applyBorder="1" applyProtection="1">
      <protection hidden="1"/>
    </xf>
    <xf numFmtId="0" fontId="11" fillId="12" borderId="11" xfId="3" applyFont="1" applyFill="1" applyBorder="1" applyProtection="1">
      <protection hidden="1"/>
    </xf>
    <xf numFmtId="0" fontId="11" fillId="12" borderId="12" xfId="3" applyFont="1" applyFill="1" applyBorder="1" applyProtection="1">
      <protection hidden="1"/>
    </xf>
    <xf numFmtId="0" fontId="11" fillId="12" borderId="13" xfId="3" applyFont="1" applyFill="1" applyBorder="1" applyProtection="1">
      <protection hidden="1"/>
    </xf>
    <xf numFmtId="9" fontId="14" fillId="12" borderId="1" xfId="4" applyFont="1" applyFill="1" applyBorder="1" applyAlignment="1" applyProtection="1">
      <alignment horizontal="center" vertical="center"/>
      <protection hidden="1"/>
    </xf>
    <xf numFmtId="9" fontId="14" fillId="12" borderId="12" xfId="4" applyFont="1" applyFill="1" applyBorder="1" applyAlignment="1" applyProtection="1">
      <alignment horizontal="center" vertical="center"/>
      <protection hidden="1"/>
    </xf>
    <xf numFmtId="0" fontId="14" fillId="11" borderId="31" xfId="3" applyFont="1" applyFill="1" applyBorder="1" applyAlignment="1" applyProtection="1">
      <alignment horizontal="center"/>
      <protection hidden="1"/>
    </xf>
    <xf numFmtId="0" fontId="14" fillId="11" borderId="34" xfId="3" applyFont="1" applyFill="1" applyBorder="1" applyAlignment="1" applyProtection="1">
      <alignment horizontal="center"/>
      <protection hidden="1"/>
    </xf>
    <xf numFmtId="44" fontId="11" fillId="12" borderId="6" xfId="1" applyFont="1" applyFill="1" applyBorder="1" applyProtection="1">
      <protection hidden="1"/>
    </xf>
    <xf numFmtId="44" fontId="11" fillId="12" borderId="7" xfId="1" applyFont="1" applyFill="1" applyBorder="1" applyProtection="1">
      <protection hidden="1"/>
    </xf>
    <xf numFmtId="44" fontId="11" fillId="12" borderId="8" xfId="1" applyFont="1" applyFill="1" applyBorder="1" applyProtection="1">
      <protection hidden="1"/>
    </xf>
    <xf numFmtId="9" fontId="14" fillId="12" borderId="7" xfId="4" applyFont="1" applyFill="1" applyBorder="1" applyAlignment="1" applyProtection="1">
      <alignment horizontal="center" vertical="center"/>
      <protection hidden="1"/>
    </xf>
    <xf numFmtId="0" fontId="14" fillId="12" borderId="7" xfId="3" applyFont="1" applyFill="1" applyBorder="1" applyAlignment="1" applyProtection="1">
      <alignment horizontal="center" vertical="center"/>
      <protection hidden="1"/>
    </xf>
    <xf numFmtId="0" fontId="11" fillId="4" borderId="13" xfId="3" applyFont="1" applyFill="1" applyBorder="1" applyProtection="1">
      <protection hidden="1"/>
    </xf>
    <xf numFmtId="0" fontId="11" fillId="4" borderId="22" xfId="3" applyFont="1" applyFill="1" applyBorder="1" applyProtection="1">
      <protection hidden="1"/>
    </xf>
    <xf numFmtId="0" fontId="11" fillId="4" borderId="23" xfId="3" applyFont="1" applyFill="1" applyBorder="1" applyProtection="1">
      <protection hidden="1"/>
    </xf>
    <xf numFmtId="0" fontId="14" fillId="7" borderId="40" xfId="3" applyFont="1" applyFill="1" applyBorder="1" applyAlignment="1" applyProtection="1">
      <alignment horizontal="center" vertical="center"/>
      <protection hidden="1"/>
    </xf>
    <xf numFmtId="0" fontId="14" fillId="7" borderId="45" xfId="3" applyFont="1" applyFill="1" applyBorder="1" applyAlignment="1" applyProtection="1">
      <alignment horizontal="center" vertical="center"/>
      <protection hidden="1"/>
    </xf>
    <xf numFmtId="165" fontId="11" fillId="13" borderId="8" xfId="1" applyNumberFormat="1" applyFont="1" applyFill="1" applyBorder="1" applyProtection="1">
      <protection hidden="1"/>
    </xf>
    <xf numFmtId="165" fontId="11" fillId="13" borderId="10" xfId="1" applyNumberFormat="1" applyFont="1" applyFill="1" applyBorder="1" applyProtection="1">
      <protection hidden="1"/>
    </xf>
    <xf numFmtId="0" fontId="11" fillId="13" borderId="10" xfId="3" applyFont="1" applyFill="1" applyBorder="1" applyProtection="1">
      <protection hidden="1"/>
    </xf>
    <xf numFmtId="165" fontId="11" fillId="13" borderId="13" xfId="1" applyNumberFormat="1" applyFont="1" applyFill="1" applyBorder="1" applyProtection="1">
      <protection hidden="1"/>
    </xf>
    <xf numFmtId="0" fontId="27" fillId="7" borderId="6" xfId="3" applyFont="1" applyFill="1" applyBorder="1" applyAlignment="1" applyProtection="1">
      <alignment horizontal="center" vertical="center"/>
      <protection hidden="1"/>
    </xf>
    <xf numFmtId="0" fontId="27" fillId="7" borderId="9" xfId="3" applyFont="1" applyFill="1" applyBorder="1" applyAlignment="1" applyProtection="1">
      <alignment horizontal="center" vertical="center"/>
      <protection hidden="1"/>
    </xf>
    <xf numFmtId="0" fontId="27" fillId="7" borderId="11" xfId="3" applyFont="1" applyFill="1" applyBorder="1" applyAlignment="1" applyProtection="1">
      <alignment horizontal="center" vertical="center"/>
      <protection hidden="1"/>
    </xf>
    <xf numFmtId="0" fontId="27" fillId="7" borderId="6" xfId="3" applyFont="1" applyFill="1" applyBorder="1" applyAlignment="1" applyProtection="1">
      <alignment horizontal="center"/>
      <protection hidden="1"/>
    </xf>
    <xf numFmtId="0" fontId="27" fillId="7" borderId="9" xfId="3" applyFont="1" applyFill="1" applyBorder="1" applyAlignment="1" applyProtection="1">
      <alignment horizontal="center"/>
      <protection hidden="1"/>
    </xf>
    <xf numFmtId="0" fontId="27" fillId="7" borderId="11" xfId="3" applyFont="1" applyFill="1" applyBorder="1" applyAlignment="1" applyProtection="1">
      <alignment horizontal="center"/>
      <protection hidden="1"/>
    </xf>
    <xf numFmtId="165" fontId="11" fillId="4" borderId="8" xfId="1" applyNumberFormat="1" applyFont="1" applyFill="1" applyBorder="1" applyAlignment="1" applyProtection="1">
      <alignment horizontal="left" indent="1"/>
      <protection hidden="1"/>
    </xf>
    <xf numFmtId="165" fontId="11" fillId="4" borderId="10" xfId="1" applyNumberFormat="1" applyFont="1" applyFill="1" applyBorder="1" applyProtection="1">
      <protection hidden="1"/>
    </xf>
    <xf numFmtId="0" fontId="11" fillId="4" borderId="10" xfId="3" applyFont="1" applyFill="1" applyBorder="1" applyProtection="1">
      <protection hidden="1"/>
    </xf>
    <xf numFmtId="44" fontId="11" fillId="4" borderId="10" xfId="1" applyFont="1" applyFill="1" applyBorder="1" applyProtection="1">
      <protection hidden="1"/>
    </xf>
    <xf numFmtId="165" fontId="11" fillId="4" borderId="13" xfId="1" applyNumberFormat="1" applyFont="1" applyFill="1" applyBorder="1" applyProtection="1">
      <protection hidden="1"/>
    </xf>
    <xf numFmtId="0" fontId="0" fillId="5" borderId="6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11" xfId="0" applyFill="1" applyBorder="1" applyProtection="1">
      <protection locked="0"/>
    </xf>
    <xf numFmtId="44" fontId="14" fillId="5" borderId="14" xfId="1" applyFont="1" applyFill="1" applyBorder="1" applyProtection="1">
      <protection hidden="1"/>
    </xf>
    <xf numFmtId="44" fontId="14" fillId="5" borderId="17" xfId="1" applyFont="1" applyFill="1" applyBorder="1" applyProtection="1">
      <protection hidden="1"/>
    </xf>
    <xf numFmtId="0" fontId="0" fillId="5" borderId="7" xfId="0" applyFill="1" applyBorder="1" applyAlignment="1" applyProtection="1">
      <alignment horizontal="right"/>
      <protection locked="0"/>
    </xf>
    <xf numFmtId="0" fontId="0" fillId="5" borderId="1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7" xfId="0" applyFill="1" applyBorder="1" applyProtection="1">
      <protection locked="0"/>
    </xf>
    <xf numFmtId="44" fontId="0" fillId="5" borderId="7" xfId="1" applyFont="1" applyFill="1" applyBorder="1" applyAlignment="1" applyProtection="1">
      <alignment horizontal="center"/>
      <protection locked="0"/>
    </xf>
    <xf numFmtId="44" fontId="0" fillId="5" borderId="8" xfId="1" applyFont="1" applyFill="1" applyBorder="1" applyAlignment="1" applyProtection="1">
      <alignment horizontal="center" vertical="center"/>
      <protection locked="0"/>
    </xf>
    <xf numFmtId="44" fontId="0" fillId="5" borderId="1" xfId="1" applyFont="1" applyFill="1" applyBorder="1" applyAlignment="1" applyProtection="1">
      <alignment horizontal="center"/>
      <protection locked="0"/>
    </xf>
    <xf numFmtId="44" fontId="0" fillId="5" borderId="10" xfId="1" applyFont="1" applyFill="1" applyBorder="1" applyAlignment="1" applyProtection="1">
      <alignment horizontal="center" vertical="center"/>
      <protection locked="0"/>
    </xf>
    <xf numFmtId="44" fontId="0" fillId="5" borderId="12" xfId="1" applyFont="1" applyFill="1" applyBorder="1" applyAlignment="1" applyProtection="1">
      <alignment horizontal="center"/>
      <protection locked="0"/>
    </xf>
    <xf numFmtId="44" fontId="0" fillId="5" borderId="13" xfId="1" applyFont="1" applyFill="1" applyBorder="1" applyAlignment="1" applyProtection="1">
      <alignment horizontal="center" vertical="center"/>
      <protection locked="0"/>
    </xf>
    <xf numFmtId="44" fontId="0" fillId="5" borderId="24" xfId="1" applyFont="1" applyFill="1" applyBorder="1" applyAlignment="1" applyProtection="1">
      <alignment horizontal="center"/>
      <protection locked="0"/>
    </xf>
    <xf numFmtId="44" fontId="0" fillId="5" borderId="2" xfId="1" applyFont="1" applyFill="1" applyBorder="1" applyAlignment="1" applyProtection="1">
      <alignment horizontal="center"/>
      <protection locked="0"/>
    </xf>
    <xf numFmtId="44" fontId="0" fillId="5" borderId="25" xfId="1" applyFont="1" applyFill="1" applyBorder="1" applyAlignment="1" applyProtection="1">
      <alignment horizontal="center"/>
      <protection locked="0"/>
    </xf>
    <xf numFmtId="10" fontId="0" fillId="5" borderId="7" xfId="0" applyNumberFormat="1" applyFill="1" applyBorder="1" applyAlignment="1" applyProtection="1">
      <alignment horizontal="right"/>
      <protection locked="0"/>
    </xf>
    <xf numFmtId="44" fontId="0" fillId="5" borderId="24" xfId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right"/>
      <protection locked="0"/>
    </xf>
    <xf numFmtId="44" fontId="0" fillId="5" borderId="2" xfId="1" applyFont="1" applyFill="1" applyBorder="1" applyAlignment="1" applyProtection="1">
      <alignment horizontal="center" vertical="center"/>
      <protection locked="0"/>
    </xf>
    <xf numFmtId="0" fontId="0" fillId="5" borderId="36" xfId="0" applyFill="1" applyBorder="1" applyProtection="1">
      <protection locked="0"/>
    </xf>
    <xf numFmtId="0" fontId="0" fillId="5" borderId="32" xfId="0" applyFill="1" applyBorder="1" applyAlignment="1" applyProtection="1">
      <alignment horizontal="right"/>
      <protection locked="0"/>
    </xf>
    <xf numFmtId="0" fontId="0" fillId="5" borderId="32" xfId="0" applyFill="1" applyBorder="1" applyProtection="1">
      <protection locked="0"/>
    </xf>
    <xf numFmtId="44" fontId="0" fillId="5" borderId="37" xfId="1" applyFont="1" applyFill="1" applyBorder="1" applyProtection="1">
      <protection locked="0"/>
    </xf>
    <xf numFmtId="44" fontId="0" fillId="5" borderId="38" xfId="1" applyFont="1" applyFill="1" applyBorder="1" applyAlignment="1" applyProtection="1">
      <alignment horizontal="center" vertical="center"/>
      <protection locked="0"/>
    </xf>
    <xf numFmtId="0" fontId="0" fillId="5" borderId="12" xfId="0" applyFill="1" applyBorder="1" applyAlignment="1" applyProtection="1">
      <alignment horizontal="right"/>
      <protection locked="0"/>
    </xf>
    <xf numFmtId="44" fontId="0" fillId="5" borderId="25" xfId="1" applyFont="1" applyFill="1" applyBorder="1" applyAlignment="1" applyProtection="1">
      <alignment horizontal="center" vertical="center"/>
      <protection locked="0"/>
    </xf>
    <xf numFmtId="44" fontId="0" fillId="5" borderId="7" xfId="1" applyFont="1" applyFill="1" applyBorder="1" applyAlignment="1" applyProtection="1">
      <alignment horizontal="center" vertical="center"/>
      <protection locked="0"/>
    </xf>
    <xf numFmtId="44" fontId="0" fillId="5" borderId="1" xfId="1" applyFont="1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9" xfId="0" applyFill="1" applyBorder="1" applyAlignment="1" applyProtection="1">
      <alignment horizontal="center" vertical="center" wrapText="1"/>
      <protection locked="0"/>
    </xf>
    <xf numFmtId="0" fontId="0" fillId="5" borderId="11" xfId="0" applyFill="1" applyBorder="1" applyAlignment="1" applyProtection="1">
      <alignment horizontal="center" vertical="center" wrapText="1"/>
      <protection locked="0"/>
    </xf>
    <xf numFmtId="165" fontId="25" fillId="9" borderId="0" xfId="1" applyNumberFormat="1" applyFont="1" applyFill="1" applyAlignment="1" applyProtection="1">
      <alignment horizontal="center" vertical="center"/>
      <protection hidden="1"/>
    </xf>
    <xf numFmtId="165" fontId="23" fillId="9" borderId="0" xfId="1" applyNumberFormat="1" applyFont="1" applyFill="1" applyAlignment="1" applyProtection="1">
      <alignment horizontal="center" vertical="center"/>
      <protection hidden="1"/>
    </xf>
    <xf numFmtId="164" fontId="25" fillId="9" borderId="0" xfId="1" applyNumberFormat="1" applyFont="1" applyFill="1" applyAlignment="1" applyProtection="1">
      <alignment horizontal="center" vertical="center"/>
      <protection hidden="1"/>
    </xf>
    <xf numFmtId="165" fontId="11" fillId="0" borderId="0" xfId="3" applyNumberFormat="1" applyFont="1" applyProtection="1">
      <protection hidden="1"/>
    </xf>
    <xf numFmtId="165" fontId="0" fillId="5" borderId="7" xfId="1" applyNumberFormat="1" applyFont="1" applyFill="1" applyBorder="1" applyProtection="1">
      <protection locked="0"/>
    </xf>
    <xf numFmtId="165" fontId="0" fillId="5" borderId="1" xfId="1" applyNumberFormat="1" applyFont="1" applyFill="1" applyBorder="1" applyProtection="1">
      <protection locked="0"/>
    </xf>
    <xf numFmtId="165" fontId="0" fillId="5" borderId="12" xfId="1" applyNumberFormat="1" applyFont="1" applyFill="1" applyBorder="1" applyProtection="1">
      <protection locked="0"/>
    </xf>
    <xf numFmtId="165" fontId="0" fillId="5" borderId="32" xfId="1" applyNumberFormat="1" applyFont="1" applyFill="1" applyBorder="1" applyProtection="1"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" vertical="center"/>
      <protection locked="0"/>
    </xf>
    <xf numFmtId="165" fontId="21" fillId="10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4" borderId="8" xfId="3" applyNumberFormat="1" applyFont="1" applyFill="1" applyBorder="1" applyProtection="1">
      <protection hidden="1"/>
    </xf>
    <xf numFmtId="10" fontId="0" fillId="5" borderId="1" xfId="0" applyNumberFormat="1" applyFill="1" applyBorder="1" applyAlignment="1" applyProtection="1">
      <alignment horizontal="right"/>
      <protection locked="0"/>
    </xf>
    <xf numFmtId="12" fontId="0" fillId="5" borderId="1" xfId="0" applyNumberFormat="1" applyFill="1" applyBorder="1" applyAlignment="1" applyProtection="1">
      <alignment horizontal="right"/>
      <protection locked="0"/>
    </xf>
    <xf numFmtId="165" fontId="0" fillId="8" borderId="0" xfId="2" applyNumberFormat="1" applyFont="1" applyFill="1" applyBorder="1" applyProtection="1"/>
    <xf numFmtId="165" fontId="0" fillId="8" borderId="0" xfId="1" applyNumberFormat="1" applyFont="1" applyFill="1" applyBorder="1" applyProtection="1">
      <protection locked="0"/>
    </xf>
    <xf numFmtId="9" fontId="0" fillId="8" borderId="0" xfId="0" applyNumberFormat="1" applyFill="1" applyProtection="1">
      <protection locked="0"/>
    </xf>
    <xf numFmtId="164" fontId="0" fillId="8" borderId="0" xfId="0" applyNumberFormat="1" applyFill="1"/>
    <xf numFmtId="165" fontId="0" fillId="8" borderId="0" xfId="1" applyNumberFormat="1" applyFont="1" applyFill="1" applyBorder="1" applyAlignment="1" applyProtection="1">
      <alignment horizontal="left"/>
      <protection locked="0"/>
    </xf>
    <xf numFmtId="0" fontId="4" fillId="5" borderId="0" xfId="0" applyFont="1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3" fillId="8" borderId="0" xfId="0" applyFont="1" applyFill="1" applyAlignment="1">
      <alignment horizontal="center"/>
    </xf>
    <xf numFmtId="0" fontId="0" fillId="5" borderId="9" xfId="0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4" fontId="0" fillId="0" borderId="0" xfId="0" applyNumberFormat="1"/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64" fontId="0" fillId="5" borderId="7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2" xfId="1" applyNumberFormat="1" applyFont="1" applyFill="1" applyBorder="1" applyAlignment="1" applyProtection="1">
      <alignment horizontal="center" vertical="center"/>
      <protection locked="0"/>
    </xf>
    <xf numFmtId="166" fontId="0" fillId="5" borderId="7" xfId="1" applyNumberFormat="1" applyFont="1" applyFill="1" applyBorder="1" applyAlignment="1" applyProtection="1">
      <alignment horizontal="center" vertical="center"/>
      <protection locked="0"/>
    </xf>
    <xf numFmtId="166" fontId="0" fillId="5" borderId="1" xfId="1" applyNumberFormat="1" applyFont="1" applyFill="1" applyBorder="1" applyAlignment="1" applyProtection="1">
      <alignment horizontal="center" vertical="center"/>
      <protection locked="0"/>
    </xf>
    <xf numFmtId="166" fontId="0" fillId="5" borderId="12" xfId="1" applyNumberFormat="1" applyFont="1" applyFill="1" applyBorder="1" applyAlignment="1" applyProtection="1">
      <alignment horizontal="center" vertical="center"/>
      <protection locked="0"/>
    </xf>
    <xf numFmtId="166" fontId="0" fillId="5" borderId="7" xfId="0" applyNumberFormat="1" applyFill="1" applyBorder="1" applyAlignment="1" applyProtection="1">
      <alignment horizontal="center" vertical="center"/>
      <protection locked="0"/>
    </xf>
    <xf numFmtId="166" fontId="0" fillId="5" borderId="1" xfId="2" applyNumberFormat="1" applyFont="1" applyFill="1" applyBorder="1" applyAlignment="1" applyProtection="1">
      <alignment horizontal="center" vertical="center"/>
      <protection locked="0"/>
    </xf>
    <xf numFmtId="166" fontId="0" fillId="5" borderId="1" xfId="0" applyNumberFormat="1" applyFill="1" applyBorder="1" applyAlignment="1" applyProtection="1">
      <alignment horizontal="center" vertical="center"/>
      <protection locked="0"/>
    </xf>
    <xf numFmtId="166" fontId="0" fillId="5" borderId="12" xfId="0" applyNumberFormat="1" applyFill="1" applyBorder="1" applyAlignment="1" applyProtection="1">
      <alignment horizontal="center" vertical="center"/>
      <protection locked="0"/>
    </xf>
    <xf numFmtId="166" fontId="0" fillId="5" borderId="30" xfId="2" applyNumberFormat="1" applyFont="1" applyFill="1" applyBorder="1" applyAlignment="1" applyProtection="1">
      <alignment horizontal="center" vertical="center"/>
    </xf>
    <xf numFmtId="10" fontId="0" fillId="5" borderId="8" xfId="2" applyNumberFormat="1" applyFont="1" applyFill="1" applyBorder="1" applyAlignment="1" applyProtection="1">
      <alignment horizontal="right" vertical="center"/>
    </xf>
    <xf numFmtId="10" fontId="0" fillId="5" borderId="10" xfId="2" applyNumberFormat="1" applyFont="1" applyFill="1" applyBorder="1" applyAlignment="1" applyProtection="1">
      <alignment horizontal="right" vertical="center"/>
    </xf>
    <xf numFmtId="10" fontId="0" fillId="5" borderId="13" xfId="2" applyNumberFormat="1" applyFont="1" applyFill="1" applyBorder="1" applyAlignment="1" applyProtection="1">
      <alignment horizontal="right" vertical="center"/>
    </xf>
    <xf numFmtId="0" fontId="29" fillId="16" borderId="27" xfId="0" applyFont="1" applyFill="1" applyBorder="1" applyAlignment="1">
      <alignment horizontal="center" vertical="center"/>
    </xf>
    <xf numFmtId="0" fontId="29" fillId="16" borderId="29" xfId="0" applyFont="1" applyFill="1" applyBorder="1" applyAlignment="1">
      <alignment horizontal="center"/>
    </xf>
    <xf numFmtId="0" fontId="29" fillId="16" borderId="28" xfId="0" applyFont="1" applyFill="1" applyBorder="1" applyAlignment="1">
      <alignment horizontal="center"/>
    </xf>
    <xf numFmtId="0" fontId="32" fillId="0" borderId="0" xfId="0" applyFont="1"/>
    <xf numFmtId="0" fontId="35" fillId="0" borderId="0" xfId="0" applyFont="1"/>
    <xf numFmtId="0" fontId="36" fillId="4" borderId="6" xfId="0" applyFont="1" applyFill="1" applyBorder="1"/>
    <xf numFmtId="0" fontId="33" fillId="4" borderId="35" xfId="0" applyFont="1" applyFill="1" applyBorder="1" applyAlignment="1">
      <alignment horizontal="center"/>
    </xf>
    <xf numFmtId="0" fontId="33" fillId="4" borderId="31" xfId="0" applyFont="1" applyFill="1" applyBorder="1" applyAlignment="1">
      <alignment horizontal="center"/>
    </xf>
    <xf numFmtId="0" fontId="33" fillId="4" borderId="34" xfId="0" applyFont="1" applyFill="1" applyBorder="1" applyAlignment="1">
      <alignment horizontal="center"/>
    </xf>
    <xf numFmtId="0" fontId="36" fillId="4" borderId="9" xfId="0" applyFont="1" applyFill="1" applyBorder="1"/>
    <xf numFmtId="0" fontId="37" fillId="0" borderId="6" xfId="0" applyFont="1" applyBorder="1"/>
    <xf numFmtId="165" fontId="32" fillId="5" borderId="7" xfId="1" applyNumberFormat="1" applyFont="1" applyFill="1" applyBorder="1" applyProtection="1">
      <protection locked="0"/>
    </xf>
    <xf numFmtId="165" fontId="32" fillId="5" borderId="8" xfId="1" applyNumberFormat="1" applyFont="1" applyFill="1" applyBorder="1" applyProtection="1"/>
    <xf numFmtId="0" fontId="37" fillId="0" borderId="9" xfId="0" applyFont="1" applyBorder="1"/>
    <xf numFmtId="165" fontId="32" fillId="5" borderId="1" xfId="1" applyNumberFormat="1" applyFont="1" applyFill="1" applyBorder="1" applyProtection="1">
      <protection locked="0"/>
    </xf>
    <xf numFmtId="165" fontId="32" fillId="5" borderId="10" xfId="1" applyNumberFormat="1" applyFont="1" applyFill="1" applyBorder="1" applyProtection="1"/>
    <xf numFmtId="0" fontId="36" fillId="4" borderId="11" xfId="0" applyFont="1" applyFill="1" applyBorder="1"/>
    <xf numFmtId="0" fontId="37" fillId="0" borderId="11" xfId="0" applyFont="1" applyBorder="1"/>
    <xf numFmtId="44" fontId="32" fillId="6" borderId="12" xfId="1" applyFont="1" applyFill="1" applyBorder="1"/>
    <xf numFmtId="165" fontId="32" fillId="5" borderId="13" xfId="1" applyNumberFormat="1" applyFont="1" applyFill="1" applyBorder="1" applyProtection="1">
      <protection locked="0"/>
    </xf>
    <xf numFmtId="0" fontId="33" fillId="4" borderId="27" xfId="0" applyFont="1" applyFill="1" applyBorder="1" applyAlignment="1">
      <alignment horizontal="center"/>
    </xf>
    <xf numFmtId="0" fontId="33" fillId="4" borderId="29" xfId="0" applyFont="1" applyFill="1" applyBorder="1" applyAlignment="1">
      <alignment horizontal="center"/>
    </xf>
    <xf numFmtId="0" fontId="33" fillId="4" borderId="28" xfId="0" applyFont="1" applyFill="1" applyBorder="1" applyAlignment="1">
      <alignment horizontal="center"/>
    </xf>
    <xf numFmtId="0" fontId="37" fillId="0" borderId="56" xfId="0" applyFont="1" applyBorder="1"/>
    <xf numFmtId="165" fontId="32" fillId="5" borderId="43" xfId="1" applyNumberFormat="1" applyFont="1" applyFill="1" applyBorder="1" applyProtection="1">
      <protection locked="0"/>
    </xf>
    <xf numFmtId="165" fontId="32" fillId="5" borderId="44" xfId="1" applyNumberFormat="1" applyFont="1" applyFill="1" applyBorder="1" applyProtection="1"/>
    <xf numFmtId="0" fontId="37" fillId="0" borderId="6" xfId="0" applyFont="1" applyBorder="1" applyProtection="1">
      <protection locked="0"/>
    </xf>
    <xf numFmtId="165" fontId="32" fillId="5" borderId="7" xfId="1" applyNumberFormat="1" applyFont="1" applyFill="1" applyBorder="1" applyProtection="1"/>
    <xf numFmtId="165" fontId="32" fillId="5" borderId="8" xfId="1" applyNumberFormat="1" applyFont="1" applyFill="1" applyBorder="1" applyProtection="1">
      <protection locked="0"/>
    </xf>
    <xf numFmtId="44" fontId="32" fillId="5" borderId="12" xfId="1" applyFont="1" applyFill="1" applyBorder="1" applyProtection="1">
      <protection locked="0"/>
    </xf>
    <xf numFmtId="165" fontId="32" fillId="5" borderId="13" xfId="1" applyNumberFormat="1" applyFont="1" applyFill="1" applyBorder="1" applyProtection="1"/>
    <xf numFmtId="164" fontId="38" fillId="3" borderId="5" xfId="1" applyNumberFormat="1" applyFont="1" applyFill="1" applyBorder="1" applyAlignment="1">
      <alignment horizontal="center" vertical="center"/>
    </xf>
    <xf numFmtId="0" fontId="34" fillId="8" borderId="4" xfId="0" applyFont="1" applyFill="1" applyBorder="1"/>
    <xf numFmtId="0" fontId="32" fillId="8" borderId="4" xfId="0" applyFont="1" applyFill="1" applyBorder="1" applyAlignment="1" applyProtection="1">
      <alignment horizontal="left"/>
      <protection locked="0"/>
    </xf>
    <xf numFmtId="0" fontId="32" fillId="8" borderId="15" xfId="0" applyFont="1" applyFill="1" applyBorder="1" applyAlignment="1" applyProtection="1">
      <alignment horizontal="left"/>
      <protection locked="0"/>
    </xf>
    <xf numFmtId="0" fontId="34" fillId="8" borderId="4" xfId="0" applyFont="1" applyFill="1" applyBorder="1" applyAlignment="1">
      <alignment horizontal="left"/>
    </xf>
    <xf numFmtId="164" fontId="34" fillId="8" borderId="4" xfId="1" applyNumberFormat="1" applyFont="1" applyFill="1" applyBorder="1" applyAlignment="1">
      <alignment horizontal="center" vertical="center"/>
    </xf>
    <xf numFmtId="0" fontId="37" fillId="0" borderId="6" xfId="0" applyFont="1" applyBorder="1" applyAlignment="1">
      <alignment horizontal="right" vertical="center"/>
    </xf>
    <xf numFmtId="0" fontId="33" fillId="4" borderId="39" xfId="0" applyFont="1" applyFill="1" applyBorder="1" applyAlignment="1">
      <alignment horizontal="center" vertical="center"/>
    </xf>
    <xf numFmtId="0" fontId="32" fillId="5" borderId="6" xfId="0" applyFont="1" applyFill="1" applyBorder="1" applyProtection="1">
      <protection locked="0"/>
    </xf>
    <xf numFmtId="0" fontId="32" fillId="5" borderId="7" xfId="0" applyFont="1" applyFill="1" applyBorder="1" applyAlignment="1" applyProtection="1">
      <alignment horizontal="center" vertical="center"/>
      <protection locked="0"/>
    </xf>
    <xf numFmtId="0" fontId="32" fillId="5" borderId="8" xfId="0" applyFont="1" applyFill="1" applyBorder="1" applyProtection="1">
      <protection locked="0"/>
    </xf>
    <xf numFmtId="0" fontId="37" fillId="0" borderId="9" xfId="0" applyFont="1" applyBorder="1" applyAlignment="1">
      <alignment horizontal="right" vertical="center"/>
    </xf>
    <xf numFmtId="9" fontId="38" fillId="3" borderId="30" xfId="2" applyFont="1" applyFill="1" applyBorder="1" applyAlignment="1" applyProtection="1">
      <alignment horizontal="center" vertical="center"/>
    </xf>
    <xf numFmtId="0" fontId="32" fillId="5" borderId="9" xfId="0" applyFont="1" applyFill="1" applyBorder="1" applyProtection="1">
      <protection locked="0"/>
    </xf>
    <xf numFmtId="0" fontId="32" fillId="5" borderId="1" xfId="0" applyFont="1" applyFill="1" applyBorder="1" applyAlignment="1" applyProtection="1">
      <alignment horizontal="center" vertical="center"/>
      <protection locked="0"/>
    </xf>
    <xf numFmtId="0" fontId="32" fillId="5" borderId="44" xfId="0" applyFont="1" applyFill="1" applyBorder="1" applyProtection="1">
      <protection locked="0"/>
    </xf>
    <xf numFmtId="9" fontId="37" fillId="8" borderId="17" xfId="2" applyFont="1" applyFill="1" applyBorder="1" applyAlignment="1" applyProtection="1">
      <alignment vertical="center"/>
    </xf>
    <xf numFmtId="0" fontId="32" fillId="5" borderId="10" xfId="0" applyFont="1" applyFill="1" applyBorder="1" applyProtection="1">
      <protection locked="0"/>
    </xf>
    <xf numFmtId="165" fontId="32" fillId="5" borderId="10" xfId="1" applyNumberFormat="1" applyFont="1" applyFill="1" applyBorder="1" applyProtection="1">
      <protection locked="0"/>
    </xf>
    <xf numFmtId="0" fontId="32" fillId="5" borderId="11" xfId="0" applyFont="1" applyFill="1" applyBorder="1" applyProtection="1">
      <protection locked="0"/>
    </xf>
    <xf numFmtId="0" fontId="32" fillId="5" borderId="12" xfId="0" applyFont="1" applyFill="1" applyBorder="1" applyAlignment="1" applyProtection="1">
      <alignment horizontal="center" vertical="center"/>
      <protection locked="0"/>
    </xf>
    <xf numFmtId="0" fontId="32" fillId="5" borderId="13" xfId="0" applyFont="1" applyFill="1" applyBorder="1" applyProtection="1">
      <protection locked="0"/>
    </xf>
    <xf numFmtId="165" fontId="37" fillId="5" borderId="10" xfId="1" applyNumberFormat="1" applyFont="1" applyFill="1" applyBorder="1" applyAlignment="1" applyProtection="1">
      <protection locked="0"/>
    </xf>
    <xf numFmtId="0" fontId="34" fillId="3" borderId="46" xfId="0" applyFont="1" applyFill="1" applyBorder="1" applyAlignment="1">
      <alignment horizontal="center" vertical="center"/>
    </xf>
    <xf numFmtId="0" fontId="39" fillId="3" borderId="47" xfId="0" applyFont="1" applyFill="1" applyBorder="1" applyAlignment="1" applyProtection="1">
      <alignment horizontal="center" vertical="center"/>
      <protection locked="0"/>
    </xf>
    <xf numFmtId="0" fontId="32" fillId="8" borderId="0" xfId="0" applyFont="1" applyFill="1" applyProtection="1">
      <protection locked="0"/>
    </xf>
    <xf numFmtId="0" fontId="37" fillId="0" borderId="36" xfId="0" applyFont="1" applyBorder="1" applyAlignment="1">
      <alignment horizontal="right" vertical="center"/>
    </xf>
    <xf numFmtId="165" fontId="32" fillId="5" borderId="38" xfId="1" applyNumberFormat="1" applyFont="1" applyFill="1" applyBorder="1" applyProtection="1">
      <protection locked="0"/>
    </xf>
    <xf numFmtId="0" fontId="32" fillId="8" borderId="0" xfId="0" applyFont="1" applyFill="1" applyAlignment="1" applyProtection="1">
      <alignment horizontal="center" vertical="center"/>
      <protection locked="0"/>
    </xf>
    <xf numFmtId="0" fontId="37" fillId="8" borderId="15" xfId="0" applyFont="1" applyFill="1" applyBorder="1" applyAlignment="1">
      <alignment horizontal="right" vertical="center"/>
    </xf>
    <xf numFmtId="0" fontId="32" fillId="8" borderId="15" xfId="0" applyFont="1" applyFill="1" applyBorder="1" applyProtection="1">
      <protection locked="0"/>
    </xf>
    <xf numFmtId="0" fontId="40" fillId="0" borderId="0" xfId="0" applyFont="1"/>
    <xf numFmtId="9" fontId="34" fillId="3" borderId="0" xfId="2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8" borderId="4" xfId="0" applyFont="1" applyFill="1" applyBorder="1" applyAlignment="1">
      <alignment horizontal="center" vertical="center"/>
    </xf>
    <xf numFmtId="0" fontId="34" fillId="8" borderId="20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/>
    </xf>
    <xf numFmtId="164" fontId="32" fillId="8" borderId="4" xfId="0" applyNumberFormat="1" applyFont="1" applyFill="1" applyBorder="1"/>
    <xf numFmtId="0" fontId="32" fillId="8" borderId="4" xfId="0" applyFont="1" applyFill="1" applyBorder="1"/>
    <xf numFmtId="164" fontId="32" fillId="8" borderId="4" xfId="0" applyNumberFormat="1" applyFont="1" applyFill="1" applyBorder="1" applyAlignment="1">
      <alignment horizontal="center"/>
    </xf>
    <xf numFmtId="0" fontId="32" fillId="5" borderId="6" xfId="0" applyFont="1" applyFill="1" applyBorder="1" applyAlignment="1" applyProtection="1">
      <alignment horizontal="center" vertical="center"/>
      <protection locked="0"/>
    </xf>
    <xf numFmtId="164" fontId="32" fillId="5" borderId="7" xfId="1" applyNumberFormat="1" applyFont="1" applyFill="1" applyBorder="1" applyAlignment="1" applyProtection="1">
      <alignment horizontal="right"/>
      <protection locked="0"/>
    </xf>
    <xf numFmtId="0" fontId="32" fillId="5" borderId="7" xfId="0" applyFont="1" applyFill="1" applyBorder="1" applyAlignment="1" applyProtection="1">
      <alignment horizontal="right"/>
      <protection locked="0"/>
    </xf>
    <xf numFmtId="164" fontId="32" fillId="5" borderId="7" xfId="0" applyNumberFormat="1" applyFont="1" applyFill="1" applyBorder="1" applyAlignment="1" applyProtection="1">
      <alignment horizontal="right"/>
      <protection locked="0"/>
    </xf>
    <xf numFmtId="10" fontId="32" fillId="5" borderId="8" xfId="2" applyNumberFormat="1" applyFont="1" applyFill="1" applyBorder="1" applyAlignment="1" applyProtection="1">
      <alignment horizontal="right"/>
      <protection locked="0"/>
    </xf>
    <xf numFmtId="0" fontId="32" fillId="5" borderId="9" xfId="0" applyFont="1" applyFill="1" applyBorder="1" applyAlignment="1" applyProtection="1">
      <alignment horizontal="center" vertical="center"/>
      <protection locked="0"/>
    </xf>
    <xf numFmtId="164" fontId="32" fillId="5" borderId="1" xfId="1" applyNumberFormat="1" applyFont="1" applyFill="1" applyBorder="1" applyProtection="1">
      <protection locked="0"/>
    </xf>
    <xf numFmtId="0" fontId="32" fillId="5" borderId="1" xfId="0" applyFont="1" applyFill="1" applyBorder="1" applyProtection="1">
      <protection locked="0"/>
    </xf>
    <xf numFmtId="164" fontId="32" fillId="5" borderId="1" xfId="0" applyNumberFormat="1" applyFont="1" applyFill="1" applyBorder="1" applyProtection="1">
      <protection locked="0"/>
    </xf>
    <xf numFmtId="164" fontId="32" fillId="5" borderId="1" xfId="2" applyNumberFormat="1" applyFont="1" applyFill="1" applyBorder="1" applyProtection="1">
      <protection locked="0"/>
    </xf>
    <xf numFmtId="10" fontId="32" fillId="5" borderId="10" xfId="2" applyNumberFormat="1" applyFont="1" applyFill="1" applyBorder="1" applyAlignment="1" applyProtection="1">
      <alignment horizontal="right"/>
      <protection locked="0"/>
    </xf>
    <xf numFmtId="0" fontId="32" fillId="5" borderId="11" xfId="0" applyFont="1" applyFill="1" applyBorder="1" applyAlignment="1" applyProtection="1">
      <alignment horizontal="center" vertical="center"/>
      <protection locked="0"/>
    </xf>
    <xf numFmtId="164" fontId="32" fillId="5" borderId="12" xfId="1" applyNumberFormat="1" applyFont="1" applyFill="1" applyBorder="1" applyProtection="1">
      <protection locked="0"/>
    </xf>
    <xf numFmtId="0" fontId="32" fillId="5" borderId="12" xfId="0" applyFont="1" applyFill="1" applyBorder="1" applyProtection="1">
      <protection locked="0"/>
    </xf>
    <xf numFmtId="164" fontId="32" fillId="5" borderId="12" xfId="0" applyNumberFormat="1" applyFont="1" applyFill="1" applyBorder="1" applyProtection="1">
      <protection locked="0"/>
    </xf>
    <xf numFmtId="10" fontId="32" fillId="5" borderId="13" xfId="2" applyNumberFormat="1" applyFont="1" applyFill="1" applyBorder="1" applyAlignment="1" applyProtection="1">
      <alignment horizontal="right"/>
      <protection locked="0"/>
    </xf>
    <xf numFmtId="164" fontId="32" fillId="5" borderId="53" xfId="1" applyNumberFormat="1" applyFont="1" applyFill="1" applyBorder="1" applyAlignment="1" applyProtection="1">
      <alignment horizontal="right"/>
      <protection locked="0"/>
    </xf>
    <xf numFmtId="165" fontId="32" fillId="5" borderId="53" xfId="1" applyNumberFormat="1" applyFont="1" applyFill="1" applyBorder="1" applyAlignment="1" applyProtection="1">
      <alignment horizontal="right"/>
      <protection locked="0"/>
    </xf>
    <xf numFmtId="0" fontId="32" fillId="5" borderId="53" xfId="0" applyFont="1" applyFill="1" applyBorder="1" applyAlignment="1" applyProtection="1">
      <alignment horizontal="right"/>
      <protection locked="0"/>
    </xf>
    <xf numFmtId="164" fontId="32" fillId="5" borderId="53" xfId="0" applyNumberFormat="1" applyFont="1" applyFill="1" applyBorder="1" applyAlignment="1" applyProtection="1">
      <alignment horizontal="right"/>
      <protection locked="0"/>
    </xf>
    <xf numFmtId="165" fontId="32" fillId="5" borderId="12" xfId="1" applyNumberFormat="1" applyFont="1" applyFill="1" applyBorder="1" applyProtection="1">
      <protection locked="0"/>
    </xf>
    <xf numFmtId="164" fontId="32" fillId="5" borderId="7" xfId="0" applyNumberFormat="1" applyFont="1" applyFill="1" applyBorder="1" applyProtection="1">
      <protection locked="0"/>
    </xf>
    <xf numFmtId="0" fontId="32" fillId="5" borderId="7" xfId="0" applyFont="1" applyFill="1" applyBorder="1" applyProtection="1">
      <protection locked="0"/>
    </xf>
    <xf numFmtId="164" fontId="32" fillId="5" borderId="7" xfId="1" applyNumberFormat="1" applyFont="1" applyFill="1" applyBorder="1" applyProtection="1">
      <protection locked="0"/>
    </xf>
    <xf numFmtId="164" fontId="32" fillId="5" borderId="7" xfId="0" applyNumberFormat="1" applyFont="1" applyFill="1" applyBorder="1" applyAlignment="1" applyProtection="1">
      <alignment wrapText="1"/>
      <protection locked="0"/>
    </xf>
    <xf numFmtId="10" fontId="32" fillId="5" borderId="8" xfId="2" applyNumberFormat="1" applyFont="1" applyFill="1" applyBorder="1" applyAlignment="1" applyProtection="1">
      <alignment wrapText="1"/>
      <protection locked="0"/>
    </xf>
    <xf numFmtId="164" fontId="32" fillId="5" borderId="12" xfId="0" applyNumberFormat="1" applyFont="1" applyFill="1" applyBorder="1" applyAlignment="1" applyProtection="1">
      <alignment wrapText="1"/>
      <protection locked="0"/>
    </xf>
    <xf numFmtId="10" fontId="32" fillId="5" borderId="13" xfId="2" applyNumberFormat="1" applyFont="1" applyFill="1" applyBorder="1" applyAlignment="1" applyProtection="1">
      <alignment wrapText="1"/>
      <protection locked="0"/>
    </xf>
    <xf numFmtId="0" fontId="34" fillId="8" borderId="0" xfId="0" applyFont="1" applyFill="1" applyAlignment="1">
      <alignment horizontal="center"/>
    </xf>
    <xf numFmtId="44" fontId="32" fillId="0" borderId="0" xfId="1" applyFont="1" applyBorder="1"/>
    <xf numFmtId="44" fontId="32" fillId="0" borderId="0" xfId="1" applyFont="1" applyBorder="1" applyAlignment="1">
      <alignment horizontal="center" vertical="center"/>
    </xf>
    <xf numFmtId="164" fontId="32" fillId="5" borderId="1" xfId="1" applyNumberFormat="1" applyFont="1" applyFill="1" applyBorder="1" applyAlignment="1" applyProtection="1">
      <alignment horizontal="center" vertical="center"/>
      <protection locked="0"/>
    </xf>
    <xf numFmtId="164" fontId="32" fillId="5" borderId="7" xfId="1" applyNumberFormat="1" applyFont="1" applyFill="1" applyBorder="1" applyAlignment="1" applyProtection="1">
      <alignment horizontal="center" vertical="center"/>
      <protection locked="0"/>
    </xf>
    <xf numFmtId="44" fontId="32" fillId="5" borderId="7" xfId="1" applyFont="1" applyFill="1" applyBorder="1" applyAlignment="1" applyProtection="1">
      <alignment horizontal="center" vertical="center"/>
      <protection locked="0"/>
    </xf>
    <xf numFmtId="44" fontId="32" fillId="5" borderId="8" xfId="1" applyFont="1" applyFill="1" applyBorder="1" applyAlignment="1" applyProtection="1">
      <alignment horizontal="center" vertical="center"/>
      <protection locked="0"/>
    </xf>
    <xf numFmtId="10" fontId="32" fillId="5" borderId="1" xfId="0" applyNumberFormat="1" applyFont="1" applyFill="1" applyBorder="1" applyAlignment="1" applyProtection="1">
      <alignment horizontal="right"/>
      <protection locked="0"/>
    </xf>
    <xf numFmtId="44" fontId="32" fillId="5" borderId="1" xfId="1" applyFont="1" applyFill="1" applyBorder="1" applyAlignment="1" applyProtection="1">
      <alignment horizontal="center" vertical="center"/>
      <protection locked="0"/>
    </xf>
    <xf numFmtId="44" fontId="32" fillId="5" borderId="10" xfId="1" applyFont="1" applyFill="1" applyBorder="1" applyAlignment="1" applyProtection="1">
      <alignment horizontal="center" vertical="center"/>
      <protection locked="0"/>
    </xf>
    <xf numFmtId="164" fontId="32" fillId="5" borderId="12" xfId="1" applyNumberFormat="1" applyFont="1" applyFill="1" applyBorder="1" applyAlignment="1" applyProtection="1">
      <alignment horizontal="center" vertical="center"/>
      <protection locked="0"/>
    </xf>
    <xf numFmtId="0" fontId="32" fillId="5" borderId="12" xfId="0" applyFont="1" applyFill="1" applyBorder="1" applyAlignment="1" applyProtection="1">
      <alignment horizontal="right"/>
      <protection locked="0"/>
    </xf>
    <xf numFmtId="44" fontId="32" fillId="5" borderId="12" xfId="1" applyFont="1" applyFill="1" applyBorder="1" applyAlignment="1" applyProtection="1">
      <alignment horizontal="center" vertical="center"/>
      <protection locked="0"/>
    </xf>
    <xf numFmtId="44" fontId="32" fillId="5" borderId="13" xfId="1" applyFont="1" applyFill="1" applyBorder="1" applyAlignment="1" applyProtection="1">
      <alignment horizontal="center" vertical="center"/>
      <protection locked="0"/>
    </xf>
    <xf numFmtId="167" fontId="32" fillId="5" borderId="7" xfId="0" applyNumberFormat="1" applyFont="1" applyFill="1" applyBorder="1" applyAlignment="1" applyProtection="1">
      <alignment horizontal="right"/>
      <protection locked="0"/>
    </xf>
    <xf numFmtId="0" fontId="32" fillId="8" borderId="0" xfId="0" applyFont="1" applyFill="1"/>
    <xf numFmtId="44" fontId="32" fillId="8" borderId="0" xfId="1" applyFont="1" applyFill="1" applyBorder="1"/>
    <xf numFmtId="44" fontId="32" fillId="8" borderId="0" xfId="1" applyFont="1" applyFill="1" applyBorder="1" applyAlignment="1">
      <alignment horizontal="center" vertical="center"/>
    </xf>
    <xf numFmtId="165" fontId="32" fillId="8" borderId="0" xfId="1" applyNumberFormat="1" applyFont="1" applyFill="1" applyBorder="1" applyProtection="1">
      <protection locked="0"/>
    </xf>
    <xf numFmtId="44" fontId="32" fillId="8" borderId="0" xfId="1" applyFont="1" applyFill="1" applyBorder="1" applyAlignment="1" applyProtection="1">
      <alignment horizontal="center"/>
      <protection locked="0"/>
    </xf>
    <xf numFmtId="44" fontId="32" fillId="8" borderId="0" xfId="1" applyFont="1" applyFill="1" applyBorder="1" applyAlignment="1" applyProtection="1">
      <alignment horizontal="center" vertical="center"/>
      <protection locked="0"/>
    </xf>
    <xf numFmtId="164" fontId="32" fillId="8" borderId="0" xfId="0" applyNumberFormat="1" applyFont="1" applyFill="1" applyAlignment="1">
      <alignment horizontal="center"/>
    </xf>
    <xf numFmtId="0" fontId="32" fillId="8" borderId="0" xfId="0" applyFont="1" applyFill="1" applyAlignment="1">
      <alignment horizontal="center" vertical="center"/>
    </xf>
    <xf numFmtId="0" fontId="37" fillId="5" borderId="46" xfId="0" applyFont="1" applyFill="1" applyBorder="1" applyAlignment="1">
      <alignment horizontal="center"/>
    </xf>
    <xf numFmtId="164" fontId="32" fillId="5" borderId="58" xfId="0" applyNumberFormat="1" applyFont="1" applyFill="1" applyBorder="1"/>
    <xf numFmtId="0" fontId="32" fillId="5" borderId="58" xfId="0" applyFont="1" applyFill="1" applyBorder="1"/>
    <xf numFmtId="0" fontId="33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9" fontId="38" fillId="3" borderId="0" xfId="2" applyFont="1" applyFill="1" applyBorder="1" applyAlignment="1">
      <alignment horizontal="center" vertical="center"/>
    </xf>
    <xf numFmtId="164" fontId="38" fillId="3" borderId="14" xfId="1" applyNumberFormat="1" applyFont="1" applyFill="1" applyBorder="1" applyAlignment="1">
      <alignment horizontal="center"/>
    </xf>
    <xf numFmtId="0" fontId="32" fillId="5" borderId="56" xfId="0" applyFont="1" applyFill="1" applyBorder="1" applyAlignment="1" applyProtection="1">
      <alignment horizontal="center" vertical="center"/>
      <protection locked="0"/>
    </xf>
    <xf numFmtId="164" fontId="32" fillId="5" borderId="43" xfId="1" applyNumberFormat="1" applyFont="1" applyFill="1" applyBorder="1" applyAlignment="1" applyProtection="1">
      <alignment horizontal="center" vertical="center"/>
      <protection locked="0"/>
    </xf>
    <xf numFmtId="10" fontId="32" fillId="5" borderId="43" xfId="0" applyNumberFormat="1" applyFont="1" applyFill="1" applyBorder="1" applyAlignment="1" applyProtection="1">
      <alignment horizontal="right"/>
      <protection locked="0"/>
    </xf>
    <xf numFmtId="0" fontId="32" fillId="5" borderId="43" xfId="0" applyFont="1" applyFill="1" applyBorder="1" applyAlignment="1" applyProtection="1">
      <alignment horizontal="center" vertical="center"/>
      <protection locked="0"/>
    </xf>
    <xf numFmtId="44" fontId="32" fillId="5" borderId="43" xfId="1" applyFont="1" applyFill="1" applyBorder="1" applyAlignment="1" applyProtection="1">
      <alignment horizontal="center" vertical="center"/>
      <protection locked="0"/>
    </xf>
    <xf numFmtId="44" fontId="32" fillId="5" borderId="44" xfId="1" applyFont="1" applyFill="1" applyBorder="1" applyAlignment="1" applyProtection="1">
      <alignment horizontal="center" vertical="center"/>
      <protection locked="0"/>
    </xf>
    <xf numFmtId="49" fontId="32" fillId="5" borderId="7" xfId="1" applyNumberFormat="1" applyFont="1" applyFill="1" applyBorder="1" applyAlignment="1" applyProtection="1">
      <alignment horizontal="right"/>
      <protection locked="0"/>
    </xf>
    <xf numFmtId="164" fontId="44" fillId="5" borderId="58" xfId="0" applyNumberFormat="1" applyFont="1" applyFill="1" applyBorder="1" applyAlignment="1">
      <alignment horizontal="center" vertical="center"/>
    </xf>
    <xf numFmtId="164" fontId="44" fillId="5" borderId="47" xfId="0" applyNumberFormat="1" applyFont="1" applyFill="1" applyBorder="1" applyAlignment="1">
      <alignment horizontal="center" vertical="center"/>
    </xf>
    <xf numFmtId="164" fontId="44" fillId="5" borderId="7" xfId="1" applyNumberFormat="1" applyFont="1" applyFill="1" applyBorder="1" applyAlignment="1" applyProtection="1">
      <alignment horizontal="center" vertical="center"/>
      <protection locked="0"/>
    </xf>
    <xf numFmtId="164" fontId="44" fillId="5" borderId="8" xfId="1" applyNumberFormat="1" applyFont="1" applyFill="1" applyBorder="1" applyAlignment="1" applyProtection="1">
      <alignment horizontal="center" vertical="center"/>
      <protection locked="0"/>
    </xf>
    <xf numFmtId="164" fontId="44" fillId="5" borderId="1" xfId="1" applyNumberFormat="1" applyFont="1" applyFill="1" applyBorder="1" applyAlignment="1" applyProtection="1">
      <alignment horizontal="center" vertical="center"/>
      <protection locked="0"/>
    </xf>
    <xf numFmtId="164" fontId="44" fillId="5" borderId="10" xfId="1" applyNumberFormat="1" applyFont="1" applyFill="1" applyBorder="1" applyAlignment="1" applyProtection="1">
      <alignment horizontal="center" vertical="center"/>
      <protection locked="0"/>
    </xf>
    <xf numFmtId="164" fontId="44" fillId="5" borderId="12" xfId="1" applyNumberFormat="1" applyFont="1" applyFill="1" applyBorder="1" applyAlignment="1" applyProtection="1">
      <alignment horizontal="center" vertical="center"/>
      <protection locked="0"/>
    </xf>
    <xf numFmtId="164" fontId="44" fillId="5" borderId="13" xfId="1" applyNumberFormat="1" applyFont="1" applyFill="1" applyBorder="1" applyAlignment="1" applyProtection="1">
      <alignment horizontal="center" vertical="center"/>
      <protection locked="0"/>
    </xf>
    <xf numFmtId="0" fontId="45" fillId="4" borderId="27" xfId="0" applyFont="1" applyFill="1" applyBorder="1" applyAlignment="1">
      <alignment horizontal="center" vertical="center" wrapText="1"/>
    </xf>
    <xf numFmtId="0" fontId="45" fillId="4" borderId="29" xfId="0" applyFont="1" applyFill="1" applyBorder="1" applyAlignment="1">
      <alignment horizontal="center" vertical="center" wrapText="1"/>
    </xf>
    <xf numFmtId="0" fontId="45" fillId="4" borderId="28" xfId="0" applyFont="1" applyFill="1" applyBorder="1" applyAlignment="1">
      <alignment horizontal="center" vertical="center" wrapText="1"/>
    </xf>
    <xf numFmtId="0" fontId="37" fillId="5" borderId="46" xfId="0" applyFont="1" applyFill="1" applyBorder="1" applyAlignment="1" applyProtection="1">
      <alignment horizontal="center" vertical="center"/>
      <protection locked="0"/>
    </xf>
    <xf numFmtId="0" fontId="37" fillId="5" borderId="58" xfId="0" applyFont="1" applyFill="1" applyBorder="1" applyAlignment="1" applyProtection="1">
      <alignment horizontal="center" vertical="center"/>
      <protection locked="0"/>
    </xf>
    <xf numFmtId="164" fontId="32" fillId="5" borderId="58" xfId="0" applyNumberFormat="1" applyFont="1" applyFill="1" applyBorder="1" applyAlignment="1">
      <alignment horizontal="center" vertical="center"/>
    </xf>
    <xf numFmtId="164" fontId="32" fillId="5" borderId="47" xfId="1" applyNumberFormat="1" applyFont="1" applyFill="1" applyBorder="1" applyAlignment="1" applyProtection="1">
      <alignment horizontal="center" vertical="center"/>
    </xf>
    <xf numFmtId="164" fontId="46" fillId="5" borderId="8" xfId="1" applyNumberFormat="1" applyFont="1" applyFill="1" applyBorder="1" applyAlignment="1" applyProtection="1">
      <alignment horizontal="center" vertical="center"/>
    </xf>
    <xf numFmtId="164" fontId="46" fillId="5" borderId="13" xfId="1" applyNumberFormat="1" applyFont="1" applyFill="1" applyBorder="1" applyAlignment="1" applyProtection="1">
      <alignment horizontal="center" vertical="center"/>
    </xf>
    <xf numFmtId="164" fontId="47" fillId="17" borderId="23" xfId="1" applyNumberFormat="1" applyFont="1" applyFill="1" applyBorder="1" applyAlignment="1" applyProtection="1">
      <alignment horizontal="center" vertical="center"/>
    </xf>
    <xf numFmtId="164" fontId="48" fillId="8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49" fontId="31" fillId="3" borderId="0" xfId="0" applyNumberFormat="1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32" fillId="5" borderId="12" xfId="0" applyFont="1" applyFill="1" applyBorder="1" applyAlignment="1" applyProtection="1">
      <alignment horizontal="left"/>
      <protection locked="0"/>
    </xf>
    <xf numFmtId="0" fontId="32" fillId="5" borderId="25" xfId="0" applyFont="1" applyFill="1" applyBorder="1" applyAlignment="1" applyProtection="1">
      <alignment horizontal="left"/>
      <protection locked="0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32" fillId="5" borderId="1" xfId="0" applyFont="1" applyFill="1" applyBorder="1" applyAlignment="1" applyProtection="1">
      <alignment horizontal="left"/>
      <protection locked="0"/>
    </xf>
    <xf numFmtId="0" fontId="32" fillId="5" borderId="2" xfId="0" applyFont="1" applyFill="1" applyBorder="1" applyAlignment="1" applyProtection="1">
      <alignment horizontal="left"/>
      <protection locked="0"/>
    </xf>
    <xf numFmtId="0" fontId="32" fillId="5" borderId="7" xfId="0" applyFont="1" applyFill="1" applyBorder="1" applyAlignment="1" applyProtection="1">
      <alignment horizontal="left"/>
      <protection locked="0"/>
    </xf>
    <xf numFmtId="0" fontId="32" fillId="5" borderId="24" xfId="0" applyFont="1" applyFill="1" applyBorder="1" applyAlignment="1" applyProtection="1">
      <alignment horizontal="left"/>
      <protection locked="0"/>
    </xf>
    <xf numFmtId="0" fontId="34" fillId="3" borderId="19" xfId="0" applyFont="1" applyFill="1" applyBorder="1" applyAlignment="1">
      <alignment horizontal="center"/>
    </xf>
    <xf numFmtId="0" fontId="34" fillId="3" borderId="20" xfId="0" applyFont="1" applyFill="1" applyBorder="1" applyAlignment="1">
      <alignment horizontal="center"/>
    </xf>
    <xf numFmtId="0" fontId="34" fillId="3" borderId="21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4" xfId="0" applyFont="1" applyFill="1" applyBorder="1" applyAlignment="1">
      <alignment horizontal="center"/>
    </xf>
    <xf numFmtId="14" fontId="32" fillId="5" borderId="1" xfId="0" applyNumberFormat="1" applyFont="1" applyFill="1" applyBorder="1" applyAlignment="1" applyProtection="1">
      <alignment horizontal="left"/>
      <protection locked="0"/>
    </xf>
    <xf numFmtId="0" fontId="32" fillId="5" borderId="12" xfId="0" applyFont="1" applyFill="1" applyBorder="1" applyAlignment="1" applyProtection="1">
      <alignment horizontal="left" vertical="center"/>
      <protection locked="0"/>
    </xf>
    <xf numFmtId="0" fontId="32" fillId="5" borderId="13" xfId="0" applyFont="1" applyFill="1" applyBorder="1" applyAlignment="1" applyProtection="1">
      <alignment horizontal="left" vertical="center"/>
      <protection locked="0"/>
    </xf>
    <xf numFmtId="0" fontId="34" fillId="3" borderId="0" xfId="0" applyFont="1" applyFill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center" vertical="center"/>
    </xf>
    <xf numFmtId="0" fontId="32" fillId="5" borderId="49" xfId="0" applyFont="1" applyFill="1" applyBorder="1" applyAlignment="1" applyProtection="1">
      <alignment horizontal="center" vertical="center"/>
      <protection locked="0"/>
    </xf>
    <xf numFmtId="0" fontId="32" fillId="5" borderId="23" xfId="0" applyFont="1" applyFill="1" applyBorder="1" applyAlignment="1" applyProtection="1">
      <alignment horizontal="center" vertical="center"/>
      <protection locked="0"/>
    </xf>
    <xf numFmtId="0" fontId="32" fillId="5" borderId="52" xfId="0" applyFont="1" applyFill="1" applyBorder="1" applyAlignment="1" applyProtection="1">
      <alignment horizontal="center" vertical="center"/>
      <protection locked="0"/>
    </xf>
    <xf numFmtId="0" fontId="32" fillId="5" borderId="22" xfId="0" applyFont="1" applyFill="1" applyBorder="1" applyAlignment="1" applyProtection="1">
      <alignment horizontal="center" vertical="center"/>
      <protection locked="0"/>
    </xf>
    <xf numFmtId="0" fontId="32" fillId="5" borderId="11" xfId="0" applyFont="1" applyFill="1" applyBorder="1" applyAlignment="1" applyProtection="1">
      <alignment horizontal="center" vertical="center"/>
      <protection locked="0"/>
    </xf>
    <xf numFmtId="0" fontId="32" fillId="5" borderId="12" xfId="0" applyFont="1" applyFill="1" applyBorder="1" applyAlignment="1" applyProtection="1">
      <alignment horizontal="center" vertical="center"/>
      <protection locked="0"/>
    </xf>
    <xf numFmtId="0" fontId="32" fillId="5" borderId="6" xfId="0" applyFont="1" applyFill="1" applyBorder="1" applyAlignment="1" applyProtection="1">
      <alignment horizontal="center" vertical="center"/>
      <protection locked="0"/>
    </xf>
    <xf numFmtId="0" fontId="32" fillId="5" borderId="7" xfId="0" applyFont="1" applyFill="1" applyBorder="1" applyAlignment="1" applyProtection="1">
      <alignment horizontal="center" vertical="center"/>
      <protection locked="0"/>
    </xf>
    <xf numFmtId="0" fontId="33" fillId="4" borderId="29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5" borderId="50" xfId="0" applyFont="1" applyFill="1" applyBorder="1" applyAlignment="1" applyProtection="1">
      <alignment horizontal="center" vertical="center"/>
      <protection locked="0"/>
    </xf>
    <xf numFmtId="0" fontId="32" fillId="5" borderId="51" xfId="0" applyFont="1" applyFill="1" applyBorder="1" applyAlignment="1" applyProtection="1">
      <alignment horizontal="center" vertical="center"/>
      <protection locked="0"/>
    </xf>
    <xf numFmtId="165" fontId="32" fillId="5" borderId="25" xfId="1" applyNumberFormat="1" applyFont="1" applyFill="1" applyBorder="1" applyAlignment="1" applyProtection="1">
      <alignment horizontal="center"/>
      <protection locked="0"/>
    </xf>
    <xf numFmtId="165" fontId="32" fillId="5" borderId="54" xfId="1" applyNumberFormat="1" applyFont="1" applyFill="1" applyBorder="1" applyAlignment="1" applyProtection="1">
      <alignment horizontal="center"/>
      <protection locked="0"/>
    </xf>
    <xf numFmtId="164" fontId="32" fillId="5" borderId="2" xfId="0" applyNumberFormat="1" applyFont="1" applyFill="1" applyBorder="1" applyAlignment="1" applyProtection="1">
      <alignment horizontal="center"/>
      <protection locked="0"/>
    </xf>
    <xf numFmtId="164" fontId="32" fillId="5" borderId="55" xfId="0" applyNumberFormat="1" applyFont="1" applyFill="1" applyBorder="1" applyAlignment="1" applyProtection="1">
      <alignment horizontal="center"/>
      <protection locked="0"/>
    </xf>
    <xf numFmtId="165" fontId="32" fillId="5" borderId="24" xfId="1" applyNumberFormat="1" applyFont="1" applyFill="1" applyBorder="1" applyAlignment="1" applyProtection="1">
      <alignment horizontal="center"/>
      <protection locked="0"/>
    </xf>
    <xf numFmtId="165" fontId="32" fillId="5" borderId="26" xfId="1" applyNumberFormat="1" applyFont="1" applyFill="1" applyBorder="1" applyAlignment="1" applyProtection="1">
      <alignment horizontal="center"/>
      <protection locked="0"/>
    </xf>
    <xf numFmtId="0" fontId="34" fillId="3" borderId="14" xfId="0" applyFont="1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3" borderId="19" xfId="0" applyFont="1" applyFill="1" applyBorder="1" applyAlignment="1">
      <alignment horizontal="center" vertical="center"/>
    </xf>
    <xf numFmtId="0" fontId="34" fillId="3" borderId="20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164" fontId="32" fillId="5" borderId="59" xfId="0" applyNumberFormat="1" applyFont="1" applyFill="1" applyBorder="1" applyAlignment="1">
      <alignment horizontal="center"/>
    </xf>
    <xf numFmtId="164" fontId="32" fillId="5" borderId="21" xfId="0" applyNumberFormat="1" applyFont="1" applyFill="1" applyBorder="1" applyAlignment="1">
      <alignment horizontal="center"/>
    </xf>
    <xf numFmtId="0" fontId="34" fillId="8" borderId="0" xfId="0" applyFont="1" applyFill="1" applyAlignment="1">
      <alignment horizontal="center" vertical="center"/>
    </xf>
    <xf numFmtId="164" fontId="42" fillId="8" borderId="0" xfId="1" applyNumberFormat="1" applyFont="1" applyFill="1" applyBorder="1" applyAlignment="1" applyProtection="1">
      <alignment horizontal="center" vertical="center"/>
    </xf>
    <xf numFmtId="0" fontId="40" fillId="8" borderId="0" xfId="0" applyFont="1" applyFill="1" applyAlignment="1">
      <alignment horizontal="left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16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/>
    </xf>
    <xf numFmtId="0" fontId="34" fillId="8" borderId="0" xfId="0" applyFont="1" applyFill="1" applyAlignment="1">
      <alignment horizontal="center"/>
    </xf>
    <xf numFmtId="0" fontId="44" fillId="5" borderId="9" xfId="0" applyFont="1" applyFill="1" applyBorder="1" applyAlignment="1" applyProtection="1">
      <alignment horizontal="center" vertical="center"/>
      <protection locked="0"/>
    </xf>
    <xf numFmtId="0" fontId="44" fillId="5" borderId="1" xfId="0" applyFont="1" applyFill="1" applyBorder="1" applyAlignment="1" applyProtection="1">
      <alignment horizontal="center" vertical="center"/>
      <protection locked="0"/>
    </xf>
    <xf numFmtId="0" fontId="44" fillId="5" borderId="6" xfId="0" applyFont="1" applyFill="1" applyBorder="1" applyAlignment="1" applyProtection="1">
      <alignment horizontal="center" vertical="center"/>
      <protection locked="0"/>
    </xf>
    <xf numFmtId="0" fontId="44" fillId="5" borderId="7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left"/>
    </xf>
    <xf numFmtId="0" fontId="0" fillId="8" borderId="0" xfId="0" applyFill="1" applyAlignment="1" applyProtection="1">
      <alignment horizontal="center" wrapText="1"/>
      <protection locked="0"/>
    </xf>
    <xf numFmtId="0" fontId="34" fillId="3" borderId="17" xfId="0" applyFont="1" applyFill="1" applyBorder="1" applyAlignment="1">
      <alignment horizontal="center" vertical="center"/>
    </xf>
    <xf numFmtId="0" fontId="43" fillId="5" borderId="46" xfId="0" applyFont="1" applyFill="1" applyBorder="1" applyAlignment="1">
      <alignment horizontal="center"/>
    </xf>
    <xf numFmtId="0" fontId="43" fillId="5" borderId="5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4" fillId="5" borderId="11" xfId="0" applyFont="1" applyFill="1" applyBorder="1" applyAlignment="1" applyProtection="1">
      <alignment horizontal="center" vertical="center"/>
      <protection locked="0"/>
    </xf>
    <xf numFmtId="0" fontId="44" fillId="5" borderId="12" xfId="0" applyFont="1" applyFill="1" applyBorder="1" applyAlignment="1" applyProtection="1">
      <alignment horizontal="center" vertical="center"/>
      <protection locked="0"/>
    </xf>
    <xf numFmtId="44" fontId="0" fillId="5" borderId="12" xfId="1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 vertical="center"/>
    </xf>
    <xf numFmtId="0" fontId="29" fillId="16" borderId="29" xfId="0" applyFont="1" applyFill="1" applyBorder="1" applyAlignment="1">
      <alignment horizontal="center"/>
    </xf>
    <xf numFmtId="10" fontId="0" fillId="5" borderId="7" xfId="1" applyNumberFormat="1" applyFont="1" applyFill="1" applyBorder="1" applyAlignment="1" applyProtection="1">
      <alignment horizontal="right" vertical="center"/>
      <protection locked="0"/>
    </xf>
    <xf numFmtId="44" fontId="0" fillId="5" borderId="7" xfId="1" applyFont="1" applyFill="1" applyBorder="1" applyAlignment="1" applyProtection="1">
      <alignment horizontal="right" vertical="center"/>
      <protection locked="0"/>
    </xf>
    <xf numFmtId="9" fontId="0" fillId="5" borderId="1" xfId="1" applyNumberFormat="1" applyFont="1" applyFill="1" applyBorder="1" applyAlignment="1" applyProtection="1">
      <alignment horizontal="right" vertical="center"/>
      <protection locked="0"/>
    </xf>
    <xf numFmtId="44" fontId="0" fillId="5" borderId="1" xfId="1" applyFont="1" applyFill="1" applyBorder="1" applyAlignment="1" applyProtection="1">
      <alignment horizontal="right" vertical="center"/>
      <protection locked="0"/>
    </xf>
    <xf numFmtId="44" fontId="0" fillId="5" borderId="1" xfId="1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164" fontId="28" fillId="3" borderId="3" xfId="1" applyNumberFormat="1" applyFont="1" applyFill="1" applyBorder="1" applyAlignment="1" applyProtection="1">
      <alignment horizontal="center" vertical="center"/>
    </xf>
    <xf numFmtId="164" fontId="28" fillId="3" borderId="5" xfId="1" applyNumberFormat="1" applyFont="1" applyFill="1" applyBorder="1" applyAlignment="1" applyProtection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5" borderId="7" xfId="0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165" fontId="0" fillId="5" borderId="3" xfId="1" applyNumberFormat="1" applyFont="1" applyFill="1" applyBorder="1" applyAlignment="1" applyProtection="1">
      <alignment horizontal="center"/>
      <protection locked="0"/>
    </xf>
    <xf numFmtId="165" fontId="0" fillId="5" borderId="5" xfId="1" applyNumberFormat="1" applyFont="1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 vertical="center" wrapText="1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5" fillId="14" borderId="17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13" fillId="15" borderId="14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19" xfId="0" applyFont="1" applyFill="1" applyBorder="1" applyAlignment="1">
      <alignment horizontal="center" vertical="center"/>
    </xf>
    <xf numFmtId="0" fontId="13" fillId="15" borderId="20" xfId="0" applyFont="1" applyFill="1" applyBorder="1" applyAlignment="1">
      <alignment horizontal="center" vertical="center"/>
    </xf>
    <xf numFmtId="0" fontId="13" fillId="15" borderId="2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14" fillId="11" borderId="14" xfId="3" applyFont="1" applyFill="1" applyBorder="1" applyAlignment="1" applyProtection="1">
      <alignment horizontal="center"/>
      <protection hidden="1"/>
    </xf>
    <xf numFmtId="0" fontId="14" fillId="11" borderId="16" xfId="3" applyFont="1" applyFill="1" applyBorder="1" applyAlignment="1" applyProtection="1">
      <alignment horizontal="center"/>
      <protection hidden="1"/>
    </xf>
    <xf numFmtId="0" fontId="11" fillId="0" borderId="41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4" fillId="11" borderId="15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4" fillId="11" borderId="33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39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5" fillId="9" borderId="14" xfId="5" applyFont="1" applyFill="1" applyBorder="1" applyAlignment="1" applyProtection="1">
      <alignment horizontal="center"/>
      <protection hidden="1"/>
    </xf>
    <xf numFmtId="0" fontId="15" fillId="9" borderId="15" xfId="5" applyFont="1" applyFill="1" applyBorder="1" applyAlignment="1" applyProtection="1">
      <alignment horizontal="center"/>
      <protection hidden="1"/>
    </xf>
    <xf numFmtId="0" fontId="15" fillId="9" borderId="16" xfId="5" applyFont="1" applyFill="1" applyBorder="1" applyAlignment="1" applyProtection="1">
      <alignment horizontal="center"/>
      <protection hidden="1"/>
    </xf>
    <xf numFmtId="0" fontId="17" fillId="9" borderId="17" xfId="6" applyFont="1" applyFill="1" applyBorder="1" applyAlignment="1" applyProtection="1">
      <alignment horizontal="center" vertical="center"/>
      <protection hidden="1"/>
    </xf>
    <xf numFmtId="0" fontId="18" fillId="9" borderId="0" xfId="5" applyFont="1" applyFill="1" applyAlignment="1" applyProtection="1">
      <alignment horizontal="center" vertical="center"/>
      <protection hidden="1"/>
    </xf>
    <xf numFmtId="0" fontId="18" fillId="9" borderId="17" xfId="5" applyFont="1" applyFill="1" applyBorder="1" applyAlignment="1" applyProtection="1">
      <alignment horizontal="center" vertical="center"/>
      <protection hidden="1"/>
    </xf>
    <xf numFmtId="0" fontId="19" fillId="10" borderId="0" xfId="5" applyFont="1" applyFill="1" applyAlignment="1" applyProtection="1">
      <alignment horizontal="center" vertical="center"/>
      <protection hidden="1"/>
    </xf>
    <xf numFmtId="0" fontId="19" fillId="10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9" borderId="0" xfId="5" applyFont="1" applyFill="1" applyAlignment="1" applyProtection="1">
      <alignment horizontal="center" vertical="center"/>
      <protection hidden="1"/>
    </xf>
    <xf numFmtId="0" fontId="24" fillId="9" borderId="18" xfId="5" applyFont="1" applyFill="1" applyBorder="1" applyAlignment="1" applyProtection="1">
      <alignment horizontal="center" vertical="center"/>
      <protection hidden="1"/>
    </xf>
    <xf numFmtId="0" fontId="26" fillId="9" borderId="17" xfId="5" applyFont="1" applyFill="1" applyBorder="1" applyAlignment="1" applyProtection="1">
      <alignment horizontal="center"/>
      <protection hidden="1"/>
    </xf>
    <xf numFmtId="0" fontId="26" fillId="9" borderId="0" xfId="5" applyFont="1" applyFill="1" applyAlignment="1" applyProtection="1">
      <alignment horizontal="center"/>
      <protection hidden="1"/>
    </xf>
    <xf numFmtId="0" fontId="26" fillId="9" borderId="18" xfId="5" applyFont="1" applyFill="1" applyBorder="1" applyAlignment="1" applyProtection="1">
      <alignment horizontal="center"/>
      <protection hidden="1"/>
    </xf>
    <xf numFmtId="0" fontId="14" fillId="0" borderId="3" xfId="3" applyFont="1" applyBorder="1" applyAlignment="1" applyProtection="1">
      <alignment horizontal="center"/>
      <protection hidden="1"/>
    </xf>
    <xf numFmtId="0" fontId="14" fillId="0" borderId="4" xfId="3" applyFont="1" applyBorder="1" applyAlignment="1" applyProtection="1">
      <alignment horizontal="center"/>
      <protection hidden="1"/>
    </xf>
    <xf numFmtId="0" fontId="14" fillId="0" borderId="5" xfId="3" applyFont="1" applyBorder="1" applyAlignment="1" applyProtection="1">
      <alignment horizontal="center"/>
      <protection hidden="1"/>
    </xf>
  </cellXfs>
  <cellStyles count="7"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DFC341"/>
      <color rgb="FF213444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Relationship Id="rId9" Type="http://schemas.openxmlformats.org/officeDocument/2006/relationships/image" Target="../media/image11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307790</xdr:colOff>
      <xdr:row>2</xdr:row>
      <xdr:rowOff>44822</xdr:rowOff>
    </xdr:from>
    <xdr:to>
      <xdr:col>2</xdr:col>
      <xdr:colOff>55676</xdr:colOff>
      <xdr:row>6</xdr:row>
      <xdr:rowOff>42789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90" y="268940"/>
          <a:ext cx="928239" cy="999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30</xdr:row>
      <xdr:rowOff>46382</xdr:rowOff>
    </xdr:from>
    <xdr:to>
      <xdr:col>1</xdr:col>
      <xdr:colOff>540541</xdr:colOff>
      <xdr:row>31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orrigetonimpot.fr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31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</row>
    <row r="2" spans="1:15" x14ac:dyDescent="0.3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</row>
    <row r="3" spans="1:15" x14ac:dyDescent="0.3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1:15" x14ac:dyDescent="0.3">
      <c r="A4" s="331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</row>
    <row r="5" spans="1:15" x14ac:dyDescent="0.3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</row>
    <row r="6" spans="1:15" x14ac:dyDescent="0.3">
      <c r="A6" s="331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</row>
    <row r="7" spans="1:15" x14ac:dyDescent="0.3">
      <c r="A7" s="331"/>
      <c r="B7" s="331"/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</row>
    <row r="8" spans="1:15" x14ac:dyDescent="0.3">
      <c r="A8" s="331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</row>
    <row r="9" spans="1:15" x14ac:dyDescent="0.3">
      <c r="A9" s="331"/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</row>
    <row r="10" spans="1:15" x14ac:dyDescent="0.3">
      <c r="A10" s="331"/>
      <c r="B10" s="331"/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</row>
    <row r="11" spans="1:15" x14ac:dyDescent="0.3">
      <c r="A11" s="331"/>
      <c r="B11" s="331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</row>
    <row r="12" spans="1:15" x14ac:dyDescent="0.3">
      <c r="A12" s="331"/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</row>
    <row r="13" spans="1:15" x14ac:dyDescent="0.3">
      <c r="A13" s="331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</row>
    <row r="14" spans="1:15" x14ac:dyDescent="0.3">
      <c r="A14" s="331"/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</row>
    <row r="15" spans="1:15" x14ac:dyDescent="0.3">
      <c r="A15" s="331"/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</row>
    <row r="16" spans="1:15" x14ac:dyDescent="0.3">
      <c r="A16" s="331"/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</row>
    <row r="17" spans="1:15" x14ac:dyDescent="0.3">
      <c r="A17" s="331"/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</row>
    <row r="18" spans="1:15" x14ac:dyDescent="0.3">
      <c r="A18" s="331"/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</row>
    <row r="19" spans="1:15" x14ac:dyDescent="0.3">
      <c r="A19" s="331"/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</row>
    <row r="20" spans="1:15" x14ac:dyDescent="0.3">
      <c r="A20" s="331"/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</row>
    <row r="21" spans="1:15" x14ac:dyDescent="0.3">
      <c r="A21" s="331"/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</row>
    <row r="22" spans="1:15" x14ac:dyDescent="0.3">
      <c r="A22" s="331"/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</row>
    <row r="23" spans="1:15" x14ac:dyDescent="0.3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topLeftCell="B1" zoomScale="150" zoomScaleNormal="150" workbookViewId="0">
      <selection activeCell="L9" sqref="L9"/>
    </sheetView>
  </sheetViews>
  <sheetFormatPr baseColWidth="10" defaultColWidth="11" defaultRowHeight="15.6" x14ac:dyDescent="0.3"/>
  <sheetData>
    <row r="1" spans="2:9" ht="16.2" thickBot="1" x14ac:dyDescent="0.35"/>
    <row r="2" spans="2:9" ht="20.100000000000001" customHeight="1" x14ac:dyDescent="0.3">
      <c r="B2" s="503" t="s">
        <v>163</v>
      </c>
      <c r="C2" s="504"/>
      <c r="D2" s="504"/>
      <c r="E2" s="504"/>
      <c r="F2" s="504"/>
      <c r="G2" s="504"/>
      <c r="H2" s="504"/>
      <c r="I2" s="505"/>
    </row>
    <row r="3" spans="2:9" ht="20.100000000000001" customHeight="1" thickBot="1" x14ac:dyDescent="0.35">
      <c r="B3" s="506"/>
      <c r="C3" s="507"/>
      <c r="D3" s="507"/>
      <c r="E3" s="507"/>
      <c r="F3" s="507"/>
      <c r="G3" s="507"/>
      <c r="H3" s="507"/>
      <c r="I3" s="508"/>
    </row>
    <row r="4" spans="2:9" ht="16.2" thickBot="1" x14ac:dyDescent="0.35"/>
    <row r="5" spans="2:9" ht="32.1" customHeight="1" thickBot="1" x14ac:dyDescent="0.35">
      <c r="C5" s="509" t="s">
        <v>164</v>
      </c>
      <c r="D5" s="510"/>
      <c r="E5" s="510"/>
      <c r="F5" s="510"/>
      <c r="G5" s="510"/>
      <c r="H5" s="511"/>
    </row>
    <row r="6" spans="2:9" ht="16.2" thickBot="1" x14ac:dyDescent="0.35"/>
    <row r="7" spans="2:9" ht="31.35" customHeight="1" thickBot="1" x14ac:dyDescent="0.35">
      <c r="C7" s="512" t="s">
        <v>165</v>
      </c>
      <c r="D7" s="513"/>
      <c r="E7" s="513"/>
      <c r="F7" s="513"/>
      <c r="G7" s="513"/>
      <c r="H7" s="514"/>
    </row>
    <row r="8" spans="2:9" ht="16.2" thickBot="1" x14ac:dyDescent="0.35"/>
    <row r="9" spans="2:9" ht="31.35" customHeight="1" thickBot="1" x14ac:dyDescent="0.35">
      <c r="C9" s="512" t="s">
        <v>166</v>
      </c>
      <c r="D9" s="513"/>
      <c r="E9" s="513"/>
      <c r="F9" s="513"/>
      <c r="G9" s="513"/>
      <c r="H9" s="514"/>
    </row>
    <row r="10" spans="2:9" ht="16.2" thickBot="1" x14ac:dyDescent="0.35"/>
    <row r="11" spans="2:9" ht="32.1" customHeight="1" thickBot="1" x14ac:dyDescent="0.35">
      <c r="C11" s="512" t="s">
        <v>167</v>
      </c>
      <c r="D11" s="513"/>
      <c r="E11" s="513"/>
      <c r="F11" s="513"/>
      <c r="G11" s="513"/>
      <c r="H11" s="514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O31" sqref="O31"/>
    </sheetView>
  </sheetViews>
  <sheetFormatPr baseColWidth="10" defaultColWidth="10.09765625" defaultRowHeight="14.4" x14ac:dyDescent="0.3"/>
  <cols>
    <col min="1" max="1" width="10.09765625" style="16"/>
    <col min="2" max="3" width="11.8984375" style="16" bestFit="1" customWidth="1"/>
    <col min="4" max="4" width="10.09765625" style="16"/>
    <col min="5" max="5" width="28.09765625" style="16" customWidth="1"/>
    <col min="6" max="6" width="21.59765625" style="16" customWidth="1"/>
    <col min="7" max="7" width="2.3984375" style="16" customWidth="1"/>
    <col min="8" max="8" width="28.3984375" style="16" customWidth="1"/>
    <col min="9" max="9" width="14.09765625" style="16" bestFit="1" customWidth="1"/>
    <col min="10" max="10" width="11.8984375" style="16" bestFit="1" customWidth="1"/>
    <col min="11" max="14" width="10.09765625" style="16"/>
    <col min="15" max="15" width="24.09765625" style="16" customWidth="1"/>
    <col min="16" max="16384" width="10.09765625" style="16"/>
  </cols>
  <sheetData>
    <row r="1" spans="1:15" ht="15" thickBot="1" x14ac:dyDescent="0.35">
      <c r="A1" s="528" t="s">
        <v>168</v>
      </c>
      <c r="B1" s="529"/>
      <c r="C1" s="529"/>
      <c r="D1" s="529"/>
      <c r="E1" s="529"/>
      <c r="F1" s="529"/>
      <c r="G1" s="529"/>
      <c r="H1" s="529"/>
      <c r="I1" s="529"/>
      <c r="J1" s="530"/>
    </row>
    <row r="2" spans="1:15" ht="16.350000000000001" customHeight="1" thickBot="1" x14ac:dyDescent="0.35">
      <c r="A2" s="519"/>
      <c r="B2" s="520"/>
      <c r="C2" s="520"/>
      <c r="D2" s="520"/>
      <c r="E2" s="520"/>
      <c r="F2" s="520"/>
      <c r="G2" s="520"/>
      <c r="H2" s="534"/>
      <c r="I2" s="534"/>
      <c r="J2" s="539"/>
    </row>
    <row r="3" spans="1:15" ht="15.6" customHeight="1" thickBot="1" x14ac:dyDescent="0.35">
      <c r="A3" s="526"/>
      <c r="B3" s="515" t="s">
        <v>169</v>
      </c>
      <c r="C3" s="531"/>
      <c r="D3" s="531"/>
      <c r="E3" s="531"/>
      <c r="F3" s="516"/>
      <c r="G3" s="521"/>
      <c r="H3" s="73" t="s">
        <v>170</v>
      </c>
      <c r="I3" s="71"/>
      <c r="J3" s="135">
        <f>('Etat Civil'!H8*0.9)+('Etat Civil'!H13*0.9)+'Etat Civil'!H10+'Etat Civil'!H15+'Etat Civil'!H18-'Etat Civil'!G27</f>
        <v>47124</v>
      </c>
    </row>
    <row r="4" spans="1:15" ht="15.6" customHeight="1" thickBot="1" x14ac:dyDescent="0.35">
      <c r="A4" s="526"/>
      <c r="B4" s="52"/>
      <c r="C4" s="53"/>
      <c r="D4" s="69"/>
      <c r="E4" s="53"/>
      <c r="F4" s="54"/>
      <c r="G4" s="521"/>
      <c r="H4" s="74" t="s">
        <v>171</v>
      </c>
      <c r="I4" s="72"/>
      <c r="J4" s="70">
        <f>'Impôt 2021 revenus 2020'!C10</f>
        <v>1</v>
      </c>
      <c r="M4" s="16">
        <v>0</v>
      </c>
      <c r="O4" s="16" t="s">
        <v>172</v>
      </c>
    </row>
    <row r="5" spans="1:15" ht="15.6" customHeight="1" x14ac:dyDescent="0.3">
      <c r="A5" s="526"/>
      <c r="B5" s="55">
        <v>0</v>
      </c>
      <c r="C5" s="56">
        <v>10064</v>
      </c>
      <c r="D5" s="61">
        <f>0</f>
        <v>0</v>
      </c>
      <c r="E5" s="56">
        <f>0</f>
        <v>0</v>
      </c>
      <c r="F5" s="57"/>
      <c r="G5" s="521"/>
      <c r="H5" s="520"/>
      <c r="I5" s="520"/>
      <c r="J5" s="525"/>
      <c r="M5" s="16">
        <v>1</v>
      </c>
      <c r="O5" s="16" t="s">
        <v>173</v>
      </c>
    </row>
    <row r="6" spans="1:15" ht="15.6" customHeight="1" x14ac:dyDescent="0.3">
      <c r="A6" s="526"/>
      <c r="B6" s="55">
        <v>10065</v>
      </c>
      <c r="C6" s="56">
        <v>25659</v>
      </c>
      <c r="D6" s="61">
        <v>0.11</v>
      </c>
      <c r="E6" s="56">
        <f>(C6-B6)*D6</f>
        <v>1715.34</v>
      </c>
      <c r="F6" s="57"/>
      <c r="G6" s="521"/>
      <c r="H6" s="521"/>
      <c r="I6" s="521"/>
      <c r="J6" s="522"/>
      <c r="M6" s="16">
        <v>2</v>
      </c>
      <c r="O6" s="16" t="s">
        <v>174</v>
      </c>
    </row>
    <row r="7" spans="1:15" ht="15.6" customHeight="1" x14ac:dyDescent="0.3">
      <c r="A7" s="526"/>
      <c r="B7" s="55">
        <v>25660</v>
      </c>
      <c r="C7" s="56">
        <v>73369</v>
      </c>
      <c r="D7" s="61">
        <f>0.3</f>
        <v>0.3</v>
      </c>
      <c r="E7" s="56">
        <f>(C7-B7)*D7</f>
        <v>14312.699999999999</v>
      </c>
      <c r="F7" s="57">
        <f>E7+E6</f>
        <v>16028.039999999999</v>
      </c>
      <c r="G7" s="521"/>
      <c r="H7" s="521"/>
      <c r="I7" s="521"/>
      <c r="J7" s="522"/>
      <c r="M7" s="16">
        <v>3</v>
      </c>
    </row>
    <row r="8" spans="1:15" ht="15.6" customHeight="1" thickBot="1" x14ac:dyDescent="0.35">
      <c r="A8" s="526"/>
      <c r="B8" s="55">
        <v>73370</v>
      </c>
      <c r="C8" s="56">
        <v>157806</v>
      </c>
      <c r="D8" s="61">
        <v>0.41</v>
      </c>
      <c r="E8" s="56">
        <f>(C8-B8)*D8</f>
        <v>34618.759999999995</v>
      </c>
      <c r="F8" s="57">
        <f>SUM(E6:E8)</f>
        <v>50646.799999999996</v>
      </c>
      <c r="G8" s="521"/>
      <c r="H8" s="521"/>
      <c r="I8" s="521"/>
      <c r="J8" s="522"/>
      <c r="M8" s="16">
        <v>4</v>
      </c>
    </row>
    <row r="9" spans="1:15" ht="15.6" customHeight="1" thickBot="1" x14ac:dyDescent="0.35">
      <c r="A9" s="526"/>
      <c r="B9" s="58"/>
      <c r="C9" s="59"/>
      <c r="D9" s="62">
        <f>0.45</f>
        <v>0.45</v>
      </c>
      <c r="E9" s="59"/>
      <c r="F9" s="60"/>
      <c r="G9" s="521"/>
      <c r="H9" s="515" t="s">
        <v>175</v>
      </c>
      <c r="I9" s="516"/>
      <c r="J9" s="50"/>
      <c r="M9" s="16">
        <v>5</v>
      </c>
    </row>
    <row r="10" spans="1:15" ht="15.6" customHeight="1" x14ac:dyDescent="0.3">
      <c r="A10" s="526"/>
      <c r="B10" s="520"/>
      <c r="C10" s="520"/>
      <c r="D10" s="520"/>
      <c r="E10" s="520"/>
      <c r="F10" s="520"/>
      <c r="G10" s="521"/>
      <c r="H10" s="79" t="s">
        <v>176</v>
      </c>
      <c r="I10" s="75">
        <f>IF(J3&gt;=C8, (J3-C8)*D9+E8+E7+E6, IF(J3&gt;=C7, (J3-C7)*D8+E7+E6, IF(J3&gt;=C6, (J3-C6)*D7+E6, IF(J3&gt;=C5, (J3-C5)*D6, 0))))</f>
        <v>8154.84</v>
      </c>
      <c r="J10" s="50"/>
    </row>
    <row r="11" spans="1:15" ht="15.6" customHeight="1" x14ac:dyDescent="0.3">
      <c r="A11" s="526"/>
      <c r="B11" s="521"/>
      <c r="C11" s="521"/>
      <c r="D11" s="521"/>
      <c r="E11" s="521"/>
      <c r="F11" s="521"/>
      <c r="G11" s="521"/>
      <c r="H11" s="80" t="s">
        <v>177</v>
      </c>
      <c r="I11" s="76">
        <f>IF(J3&gt;=C28, (J3-C28)*D29+E28+E27+E26, IF(J3&gt;=C27, (J3-C27)*D28+E27+E26, IF(J3&gt;=C26, (J3-C26)*D27+E26, IF(J3&gt;=C25, (J3-C25)*D26, 0))))</f>
        <v>8154.84</v>
      </c>
      <c r="J11" s="50"/>
    </row>
    <row r="12" spans="1:15" ht="15.6" customHeight="1" x14ac:dyDescent="0.3">
      <c r="A12" s="526"/>
      <c r="B12" s="521"/>
      <c r="C12" s="521"/>
      <c r="D12" s="521"/>
      <c r="E12" s="521"/>
      <c r="F12" s="521"/>
      <c r="G12" s="521"/>
      <c r="H12" s="80"/>
      <c r="I12" s="77"/>
      <c r="J12" s="50"/>
    </row>
    <row r="13" spans="1:15" ht="15.6" customHeight="1" x14ac:dyDescent="0.3">
      <c r="A13" s="526"/>
      <c r="B13" s="521"/>
      <c r="C13" s="521"/>
      <c r="D13" s="521"/>
      <c r="E13" s="521"/>
      <c r="F13" s="521"/>
      <c r="G13" s="521"/>
      <c r="H13" s="80" t="s">
        <v>178</v>
      </c>
      <c r="I13" s="77">
        <f>IF('Impôt 2021 revenus 2020'!C5="Parent isolé (T)", 1,0)</f>
        <v>0</v>
      </c>
      <c r="J13" s="50"/>
    </row>
    <row r="14" spans="1:15" ht="15.6" customHeight="1" x14ac:dyDescent="0.3">
      <c r="A14" s="526"/>
      <c r="B14" s="521"/>
      <c r="C14" s="521"/>
      <c r="D14" s="521"/>
      <c r="E14" s="521"/>
      <c r="F14" s="521"/>
      <c r="G14" s="521"/>
      <c r="H14" s="80" t="s">
        <v>179</v>
      </c>
      <c r="I14" s="77">
        <f>IF('Impôt 2021 revenus 2020'!C5="Enfant élevé seul (L)", 1, 0)</f>
        <v>0</v>
      </c>
      <c r="J14" s="50"/>
    </row>
    <row r="15" spans="1:15" ht="15.6" customHeight="1" thickBot="1" x14ac:dyDescent="0.35">
      <c r="A15" s="527"/>
      <c r="B15" s="523"/>
      <c r="C15" s="523"/>
      <c r="D15" s="523"/>
      <c r="E15" s="523"/>
      <c r="F15" s="523"/>
      <c r="G15" s="521"/>
      <c r="H15" s="80" t="s">
        <v>180</v>
      </c>
      <c r="I15" s="77">
        <f>IF('Impôt 2021 revenus 2020'!C5="Invalidité", 1,0)</f>
        <v>0</v>
      </c>
      <c r="J15" s="50"/>
    </row>
    <row r="16" spans="1:15" ht="16.350000000000001" customHeight="1" thickBot="1" x14ac:dyDescent="0.35">
      <c r="A16" s="536" t="s">
        <v>181</v>
      </c>
      <c r="B16" s="537"/>
      <c r="C16" s="537"/>
      <c r="D16" s="537"/>
      <c r="E16" s="537"/>
      <c r="F16" s="538"/>
      <c r="G16" s="521"/>
      <c r="H16" s="80" t="s">
        <v>182</v>
      </c>
      <c r="I16" s="77">
        <f>IF('Impôt 2021 revenus 2020'!C5=0, (J4-1)*2, (J4-1)*2-1)</f>
        <v>0</v>
      </c>
      <c r="J16" s="50"/>
    </row>
    <row r="17" spans="1:17" ht="15.6" customHeight="1" x14ac:dyDescent="0.3">
      <c r="A17" s="93">
        <v>1567</v>
      </c>
      <c r="B17" s="41" t="s">
        <v>183</v>
      </c>
      <c r="C17" s="41"/>
      <c r="D17" s="41"/>
      <c r="E17" s="41"/>
      <c r="F17" s="42"/>
      <c r="G17" s="521"/>
      <c r="H17" s="80" t="s">
        <v>184</v>
      </c>
      <c r="I17" s="76">
        <f>I10-A17*I16-I13*A19-I14*A18-I15*A20</f>
        <v>8154.84</v>
      </c>
      <c r="J17" s="50"/>
      <c r="O17" s="16" t="s">
        <v>185</v>
      </c>
      <c r="P17" s="16">
        <v>0</v>
      </c>
      <c r="Q17" s="16">
        <v>1</v>
      </c>
    </row>
    <row r="18" spans="1:17" ht="15.6" customHeight="1" x14ac:dyDescent="0.3">
      <c r="A18" s="94">
        <v>936</v>
      </c>
      <c r="B18" s="43" t="s">
        <v>186</v>
      </c>
      <c r="C18" s="43"/>
      <c r="D18" s="43"/>
      <c r="E18" s="43"/>
      <c r="F18" s="44"/>
      <c r="G18" s="521"/>
      <c r="H18" s="80"/>
      <c r="I18" s="77"/>
      <c r="J18" s="50"/>
      <c r="P18" s="16">
        <v>1</v>
      </c>
      <c r="Q18" s="16">
        <v>1.5</v>
      </c>
    </row>
    <row r="19" spans="1:17" ht="15.6" customHeight="1" x14ac:dyDescent="0.3">
      <c r="A19" s="94">
        <f>3697-1567</f>
        <v>2130</v>
      </c>
      <c r="B19" s="43" t="s">
        <v>187</v>
      </c>
      <c r="C19" s="43"/>
      <c r="D19" s="43"/>
      <c r="E19" s="43"/>
      <c r="F19" s="44"/>
      <c r="G19" s="521"/>
      <c r="H19" s="80"/>
      <c r="I19" s="77"/>
      <c r="J19" s="50"/>
      <c r="P19" s="16">
        <v>2</v>
      </c>
      <c r="Q19" s="16">
        <v>2</v>
      </c>
    </row>
    <row r="20" spans="1:17" ht="15.6" customHeight="1" x14ac:dyDescent="0.3">
      <c r="A20" s="94">
        <v>3129</v>
      </c>
      <c r="B20" s="43" t="s">
        <v>188</v>
      </c>
      <c r="C20" s="43"/>
      <c r="D20" s="43"/>
      <c r="E20" s="43"/>
      <c r="F20" s="44"/>
      <c r="G20" s="521"/>
      <c r="H20" s="80" t="s">
        <v>189</v>
      </c>
      <c r="I20" s="76">
        <f>IF(I11&gt;I17, I11, I17)</f>
        <v>8154.84</v>
      </c>
      <c r="J20" s="50"/>
      <c r="P20" s="16">
        <v>3</v>
      </c>
      <c r="Q20" s="16">
        <v>3</v>
      </c>
    </row>
    <row r="21" spans="1:17" ht="16.350000000000001" customHeight="1" thickBot="1" x14ac:dyDescent="0.35">
      <c r="A21" s="45"/>
      <c r="B21" s="46" t="s">
        <v>190</v>
      </c>
      <c r="C21" s="46"/>
      <c r="D21" s="46"/>
      <c r="E21" s="46"/>
      <c r="F21" s="47"/>
      <c r="G21" s="521"/>
      <c r="H21" s="80" t="s">
        <v>191</v>
      </c>
      <c r="I21" s="77">
        <f>IF(I20&lt;=1717, (777-I20*0.4525), 0)</f>
        <v>0</v>
      </c>
      <c r="J21" s="50"/>
      <c r="P21" s="16">
        <v>4</v>
      </c>
      <c r="Q21" s="16">
        <v>4</v>
      </c>
    </row>
    <row r="22" spans="1:17" ht="16.350000000000001" customHeight="1" thickBot="1" x14ac:dyDescent="0.35">
      <c r="A22" s="519"/>
      <c r="B22" s="520"/>
      <c r="C22" s="520"/>
      <c r="D22" s="520"/>
      <c r="E22" s="520"/>
      <c r="F22" s="520"/>
      <c r="G22" s="521"/>
      <c r="H22" s="81" t="s">
        <v>192</v>
      </c>
      <c r="I22" s="78">
        <f>IF(I21&gt;I20, 0, I20-I21)</f>
        <v>8154.84</v>
      </c>
      <c r="J22" s="50"/>
    </row>
    <row r="23" spans="1:17" ht="16.350000000000001" customHeight="1" thickBot="1" x14ac:dyDescent="0.35">
      <c r="A23" s="517"/>
      <c r="B23" s="515" t="s">
        <v>193</v>
      </c>
      <c r="C23" s="531"/>
      <c r="D23" s="531"/>
      <c r="E23" s="531"/>
      <c r="F23" s="516"/>
      <c r="G23" s="521"/>
      <c r="H23" s="521"/>
      <c r="I23" s="521"/>
      <c r="J23" s="522"/>
      <c r="O23" s="16" t="s">
        <v>21</v>
      </c>
      <c r="P23" s="16">
        <v>0</v>
      </c>
      <c r="Q23" s="16">
        <v>2</v>
      </c>
    </row>
    <row r="24" spans="1:17" ht="15.6" customHeight="1" x14ac:dyDescent="0.3">
      <c r="A24" s="517"/>
      <c r="B24" s="52"/>
      <c r="C24" s="53"/>
      <c r="D24" s="53"/>
      <c r="E24" s="53"/>
      <c r="F24" s="54"/>
      <c r="G24" s="521"/>
      <c r="H24" s="521"/>
      <c r="I24" s="521"/>
      <c r="J24" s="522"/>
      <c r="P24" s="16">
        <v>1</v>
      </c>
      <c r="Q24" s="16">
        <v>2.5</v>
      </c>
    </row>
    <row r="25" spans="1:17" ht="15.6" customHeight="1" x14ac:dyDescent="0.3">
      <c r="A25" s="517"/>
      <c r="B25" s="55">
        <v>0</v>
      </c>
      <c r="C25" s="56">
        <f>C5*$J$4</f>
        <v>10064</v>
      </c>
      <c r="D25" s="61">
        <f>0</f>
        <v>0</v>
      </c>
      <c r="E25" s="56">
        <f>0</f>
        <v>0</v>
      </c>
      <c r="F25" s="57"/>
      <c r="G25" s="521"/>
      <c r="H25" s="521"/>
      <c r="I25" s="521"/>
      <c r="J25" s="522"/>
      <c r="P25" s="16">
        <v>2</v>
      </c>
      <c r="Q25" s="16">
        <v>3</v>
      </c>
    </row>
    <row r="26" spans="1:17" ht="15.6" customHeight="1" x14ac:dyDescent="0.3">
      <c r="A26" s="517"/>
      <c r="B26" s="55">
        <f>B6*$J$4</f>
        <v>10065</v>
      </c>
      <c r="C26" s="56">
        <f>C6*$J$4</f>
        <v>25659</v>
      </c>
      <c r="D26" s="61">
        <v>0.11</v>
      </c>
      <c r="E26" s="56">
        <f>(C26-B26)*D26</f>
        <v>1715.34</v>
      </c>
      <c r="F26" s="57"/>
      <c r="G26" s="521"/>
      <c r="H26" s="521"/>
      <c r="I26" s="521"/>
      <c r="J26" s="522"/>
      <c r="P26" s="16">
        <v>3</v>
      </c>
      <c r="Q26" s="16">
        <v>4</v>
      </c>
    </row>
    <row r="27" spans="1:17" ht="15.6" customHeight="1" x14ac:dyDescent="0.3">
      <c r="A27" s="517"/>
      <c r="B27" s="55">
        <f>B7*$J$4</f>
        <v>25660</v>
      </c>
      <c r="C27" s="56">
        <f>C7*$J$4</f>
        <v>73369</v>
      </c>
      <c r="D27" s="61">
        <f>0.3</f>
        <v>0.3</v>
      </c>
      <c r="E27" s="56">
        <f>(C27-B27)*D27</f>
        <v>14312.699999999999</v>
      </c>
      <c r="F27" s="57">
        <f>E27+E26</f>
        <v>16028.039999999999</v>
      </c>
      <c r="G27" s="521"/>
      <c r="H27" s="521"/>
      <c r="I27" s="521"/>
      <c r="J27" s="522"/>
      <c r="P27" s="16">
        <v>4</v>
      </c>
      <c r="Q27" s="16">
        <v>5</v>
      </c>
    </row>
    <row r="28" spans="1:17" ht="15.6" customHeight="1" x14ac:dyDescent="0.3">
      <c r="A28" s="517"/>
      <c r="B28" s="55">
        <f>B8*$J$4</f>
        <v>73370</v>
      </c>
      <c r="C28" s="56">
        <f>C8*$J$4</f>
        <v>157806</v>
      </c>
      <c r="D28" s="61">
        <v>0.41</v>
      </c>
      <c r="E28" s="56">
        <f>(C28-B28)*D28</f>
        <v>34618.759999999995</v>
      </c>
      <c r="F28" s="57">
        <f>SUM(E26:E28)</f>
        <v>50646.799999999996</v>
      </c>
      <c r="G28" s="521"/>
      <c r="H28" s="521"/>
      <c r="I28" s="521"/>
      <c r="J28" s="522"/>
    </row>
    <row r="29" spans="1:17" ht="16.350000000000001" customHeight="1" thickBot="1" x14ac:dyDescent="0.35">
      <c r="A29" s="518"/>
      <c r="B29" s="58"/>
      <c r="C29" s="59"/>
      <c r="D29" s="62">
        <f>0.45</f>
        <v>0.45</v>
      </c>
      <c r="E29" s="59"/>
      <c r="F29" s="60"/>
      <c r="G29" s="523"/>
      <c r="H29" s="523"/>
      <c r="I29" s="523"/>
      <c r="J29" s="524"/>
    </row>
    <row r="30" spans="1:17" ht="15" thickBot="1" x14ac:dyDescent="0.35">
      <c r="A30" s="534"/>
      <c r="B30" s="534"/>
      <c r="C30" s="534"/>
      <c r="D30" s="534"/>
      <c r="E30" s="534"/>
      <c r="F30" s="534"/>
      <c r="G30" s="534"/>
      <c r="H30" s="534"/>
      <c r="I30" s="534"/>
      <c r="J30" s="534"/>
      <c r="O30" s="16">
        <f>IF(OR('Impôt 2021 revenus 2020'!C3="Célibataire",'Impôt 2021 revenus 2020'!C3="Concubinage",'Impôt 2021 revenus 2020'!C3="Divorcé",'Impôt 2021 revenus 2020'!C3="Veuf"), VLOOKUP('Impôt 2021 revenus 2020'!C4,P17:Q21, 2, FALSE) - IF('Etat Civil'!C20="Alternée",IF('Etat Civil'!C29=1,0.25,IF('Etat Civil'!C29=2,0.5,IF('Etat Civil'!C29=3,1,IF('Etat Civil'!C29=4,1.5,2)))),0), VLOOKUP('Impôt 2021 revenus 2020'!C4,P23:Q27, 2, FALSE))</f>
        <v>1</v>
      </c>
    </row>
    <row r="31" spans="1:17" ht="15" thickBot="1" x14ac:dyDescent="0.35">
      <c r="A31" s="528" t="s">
        <v>194</v>
      </c>
      <c r="B31" s="532"/>
      <c r="C31" s="532"/>
      <c r="D31" s="532"/>
      <c r="E31" s="532"/>
      <c r="F31" s="532"/>
      <c r="G31" s="529"/>
      <c r="H31" s="529"/>
      <c r="I31" s="529"/>
      <c r="J31" s="530"/>
    </row>
    <row r="32" spans="1:17" ht="16.350000000000001" customHeight="1" thickBot="1" x14ac:dyDescent="0.35">
      <c r="A32" s="519"/>
      <c r="B32" s="515"/>
      <c r="C32" s="531"/>
      <c r="D32" s="533"/>
      <c r="E32" s="63" t="s">
        <v>195</v>
      </c>
      <c r="F32" s="64" t="s">
        <v>196</v>
      </c>
      <c r="G32" s="535"/>
      <c r="H32" s="515" t="s">
        <v>175</v>
      </c>
      <c r="I32" s="516"/>
      <c r="J32" s="525"/>
    </row>
    <row r="33" spans="1:19" ht="15.6" customHeight="1" x14ac:dyDescent="0.3">
      <c r="A33" s="526"/>
      <c r="B33" s="65">
        <f>B5*2</f>
        <v>0</v>
      </c>
      <c r="C33" s="66">
        <f>C5*2</f>
        <v>20128</v>
      </c>
      <c r="D33" s="68">
        <v>0</v>
      </c>
      <c r="E33" s="66">
        <v>0</v>
      </c>
      <c r="F33" s="67"/>
      <c r="G33" s="517"/>
      <c r="H33" s="82" t="s">
        <v>197</v>
      </c>
      <c r="I33" s="85">
        <f>IF(J3&gt;=C37, (J3-C37)*D38+E37+E36+E34, IF(J3&gt;=C36, (J3-C36)*D37+E36+E34, IF(J3&gt;=C34, (J3-C34)*D36+E34, IF(J3&gt;=C33, (J3-C33)*D34, 0))))</f>
        <v>2969.56</v>
      </c>
      <c r="J33" s="522"/>
    </row>
    <row r="34" spans="1:19" ht="15.6" customHeight="1" x14ac:dyDescent="0.3">
      <c r="A34" s="526"/>
      <c r="B34" s="55">
        <f t="shared" ref="B34:C34" si="0">B6*2</f>
        <v>20130</v>
      </c>
      <c r="C34" s="56">
        <f t="shared" si="0"/>
        <v>51318</v>
      </c>
      <c r="D34" s="61">
        <v>0.11</v>
      </c>
      <c r="E34" s="56">
        <f>(C34-B34)*D34</f>
        <v>3430.68</v>
      </c>
      <c r="F34" s="57"/>
      <c r="G34" s="517"/>
      <c r="H34" s="83" t="s">
        <v>177</v>
      </c>
      <c r="I34" s="86">
        <f>IF(J3&gt;=C28, (J3-C28)*D29+E28+E27+E26, IF(J3&gt;=C27, (J3-C27)*D28+E27+E26, IF(J3&gt;=C26, (J3-C26)*D27+E26, IF(J3&gt;=C25, (J3-C25)*D26, 0))))</f>
        <v>8154.84</v>
      </c>
      <c r="J34" s="522"/>
      <c r="O34" s="16">
        <f>1196*1.01</f>
        <v>1207.96</v>
      </c>
    </row>
    <row r="35" spans="1:19" ht="15.6" customHeight="1" x14ac:dyDescent="0.3">
      <c r="A35" s="526"/>
      <c r="B35" s="55"/>
      <c r="C35" s="56"/>
      <c r="D35" s="61"/>
      <c r="E35" s="56"/>
      <c r="F35" s="57"/>
      <c r="G35" s="517"/>
      <c r="H35" s="83" t="s">
        <v>198</v>
      </c>
      <c r="I35" s="87">
        <f>IF('Impôt 2021 revenus 2020'!C5="Invalidité", 1,0)</f>
        <v>0</v>
      </c>
      <c r="J35" s="522"/>
      <c r="O35" s="16">
        <f>1970*(1+O36)</f>
        <v>1989.7</v>
      </c>
      <c r="R35" s="16">
        <f>1208-0.75*1000</f>
        <v>458</v>
      </c>
      <c r="S35" s="16">
        <v>1611</v>
      </c>
    </row>
    <row r="36" spans="1:19" ht="15.6" customHeight="1" x14ac:dyDescent="0.3">
      <c r="A36" s="526"/>
      <c r="B36" s="55">
        <f>B7*2</f>
        <v>51320</v>
      </c>
      <c r="C36" s="56">
        <f>C7*2</f>
        <v>146738</v>
      </c>
      <c r="D36" s="61">
        <v>0.3</v>
      </c>
      <c r="E36" s="56">
        <f>(C36-B36)*D36</f>
        <v>28625.399999999998</v>
      </c>
      <c r="F36" s="57">
        <f>E34+E36</f>
        <v>32056.079999999998</v>
      </c>
      <c r="G36" s="517"/>
      <c r="H36" s="83" t="s">
        <v>199</v>
      </c>
      <c r="I36" s="87">
        <f>MAX(0,IF('Impôt 2021 revenus 2020'!C5=0, (J4-2)*2, (J4-2)*2-1))</f>
        <v>0</v>
      </c>
      <c r="J36" s="522"/>
      <c r="O36" s="16">
        <v>0.01</v>
      </c>
      <c r="S36" s="16">
        <v>2653</v>
      </c>
    </row>
    <row r="37" spans="1:19" ht="15.6" customHeight="1" x14ac:dyDescent="0.3">
      <c r="A37" s="526"/>
      <c r="B37" s="55">
        <f>B8*2</f>
        <v>146740</v>
      </c>
      <c r="C37" s="56">
        <f>C8*2</f>
        <v>315612</v>
      </c>
      <c r="D37" s="61">
        <v>0.41</v>
      </c>
      <c r="E37" s="56">
        <f>(C37-B37)*D37</f>
        <v>69237.51999999999</v>
      </c>
      <c r="F37" s="57">
        <f>E34+E36+E37</f>
        <v>101293.59999999999</v>
      </c>
      <c r="G37" s="517"/>
      <c r="H37" s="83" t="s">
        <v>184</v>
      </c>
      <c r="I37" s="86">
        <f>I33-A17*I36-I35*A20</f>
        <v>2969.56</v>
      </c>
      <c r="J37" s="522"/>
    </row>
    <row r="38" spans="1:19" ht="16.350000000000001" customHeight="1" thickBot="1" x14ac:dyDescent="0.35">
      <c r="A38" s="526"/>
      <c r="B38" s="58"/>
      <c r="C38" s="59"/>
      <c r="D38" s="62">
        <v>0.45</v>
      </c>
      <c r="E38" s="59"/>
      <c r="F38" s="60"/>
      <c r="G38" s="517"/>
      <c r="H38" s="83"/>
      <c r="I38" s="87"/>
      <c r="J38" s="522"/>
    </row>
    <row r="39" spans="1:19" ht="15.6" customHeight="1" x14ac:dyDescent="0.3">
      <c r="A39" s="526"/>
      <c r="B39" s="521"/>
      <c r="C39" s="521"/>
      <c r="D39" s="521"/>
      <c r="E39" s="521"/>
      <c r="F39" s="521"/>
      <c r="G39" s="521"/>
      <c r="H39" s="83" t="s">
        <v>189</v>
      </c>
      <c r="I39" s="86">
        <f>IF(I34&gt;I37, I34, I37)</f>
        <v>8154.84</v>
      </c>
      <c r="J39" s="522"/>
    </row>
    <row r="40" spans="1:19" ht="15.6" customHeight="1" x14ac:dyDescent="0.3">
      <c r="A40" s="526"/>
      <c r="B40" s="521"/>
      <c r="C40" s="521"/>
      <c r="D40" s="521"/>
      <c r="E40" s="521"/>
      <c r="F40" s="521"/>
      <c r="G40" s="521"/>
      <c r="H40" s="83" t="s">
        <v>191</v>
      </c>
      <c r="I40" s="88">
        <f>IF(I39&lt;=2842, 1286-I39*0.4525, 0)</f>
        <v>0</v>
      </c>
      <c r="J40" s="522"/>
    </row>
    <row r="41" spans="1:19" ht="16.350000000000001" customHeight="1" thickBot="1" x14ac:dyDescent="0.35">
      <c r="A41" s="526"/>
      <c r="B41" s="521"/>
      <c r="C41" s="521"/>
      <c r="D41" s="521"/>
      <c r="E41" s="521"/>
      <c r="F41" s="521"/>
      <c r="G41" s="521"/>
      <c r="H41" s="84" t="s">
        <v>192</v>
      </c>
      <c r="I41" s="89">
        <f>IF(I40&gt;I39, 0, I39-I40)</f>
        <v>8154.84</v>
      </c>
      <c r="J41" s="522"/>
    </row>
    <row r="42" spans="1:19" ht="16.350000000000001" customHeight="1" thickBot="1" x14ac:dyDescent="0.35">
      <c r="A42" s="527"/>
      <c r="B42" s="523"/>
      <c r="C42" s="523"/>
      <c r="D42" s="523"/>
      <c r="E42" s="523"/>
      <c r="F42" s="523"/>
      <c r="G42" s="523"/>
      <c r="H42" s="534"/>
      <c r="I42" s="534"/>
      <c r="J42" s="524"/>
    </row>
  </sheetData>
  <sheetProtection algorithmName="SHA-512" hashValue="5kwVQ++5n9OPPwpfPpYMjVZJQOOI33Civ115AXtyBQ0qi8jK3Q7vEnPxUcp6ui1oa9jvNULOO4GJaxGRDA21Xw==" saltValue="F1kg7TTTCcgJ9kIXxIF4kA==" spinCount="100000" sheet="1" objects="1" scenarios="1" selectLockedCells="1" selectUnlockedCells="1"/>
  <mergeCells count="23"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  <mergeCell ref="H9:I9"/>
    <mergeCell ref="A23:A29"/>
    <mergeCell ref="A22:F22"/>
    <mergeCell ref="H23:J29"/>
    <mergeCell ref="H5:J8"/>
    <mergeCell ref="B10:F15"/>
    <mergeCell ref="A3:A1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19"/>
    <col min="2" max="2" width="20.3984375" style="19" customWidth="1"/>
    <col min="3" max="3" width="26.09765625" style="19" customWidth="1"/>
    <col min="4" max="4" width="18.3984375" style="19" customWidth="1"/>
    <col min="5" max="16384" width="10.09765625" style="19"/>
  </cols>
  <sheetData>
    <row r="1" spans="1:29" ht="28.8" x14ac:dyDescent="0.55000000000000004">
      <c r="A1" s="540" t="s">
        <v>200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2"/>
      <c r="O1" s="543" t="s">
        <v>201</v>
      </c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</row>
    <row r="2" spans="1:29" ht="15.6" x14ac:dyDescent="0.3">
      <c r="A2" s="20"/>
      <c r="K2" s="546" t="s">
        <v>202</v>
      </c>
      <c r="L2" s="546"/>
      <c r="M2" s="546"/>
      <c r="N2" s="547"/>
      <c r="O2" s="545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</row>
    <row r="3" spans="1:29" ht="28.5" customHeight="1" x14ac:dyDescent="0.3">
      <c r="A3" s="21" t="s">
        <v>203</v>
      </c>
      <c r="B3" s="22"/>
      <c r="C3" s="23" t="str">
        <f>'Etat Civil'!C17</f>
        <v>Concubinage</v>
      </c>
      <c r="N3" s="24"/>
      <c r="O3" s="545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</row>
    <row r="4" spans="1:29" ht="28.5" customHeight="1" x14ac:dyDescent="0.3">
      <c r="A4" s="21" t="s">
        <v>204</v>
      </c>
      <c r="B4" s="22"/>
      <c r="C4" s="23">
        <f>'Etat Civil'!C29</f>
        <v>0</v>
      </c>
      <c r="N4" s="24"/>
      <c r="O4" s="545"/>
      <c r="P4" s="544"/>
      <c r="Q4" s="544"/>
      <c r="R4" s="544"/>
      <c r="S4" s="544"/>
      <c r="T4" s="544"/>
      <c r="U4" s="544"/>
      <c r="V4" s="544"/>
      <c r="W4" s="544"/>
      <c r="X4" s="544"/>
      <c r="Y4" s="544"/>
      <c r="Z4" s="544"/>
      <c r="AA4" s="544"/>
      <c r="AB4" s="544"/>
      <c r="AC4" s="544"/>
    </row>
    <row r="5" spans="1:29" ht="28.5" customHeight="1" x14ac:dyDescent="0.3">
      <c r="A5" s="21" t="s">
        <v>27</v>
      </c>
      <c r="B5" s="22"/>
      <c r="C5" s="25">
        <f>'Etat Civil'!C19</f>
        <v>0</v>
      </c>
      <c r="D5" s="548" t="s">
        <v>205</v>
      </c>
      <c r="E5" s="548"/>
      <c r="F5" s="548"/>
      <c r="G5" s="548"/>
      <c r="H5" s="548"/>
      <c r="I5" s="548"/>
      <c r="J5" s="548"/>
      <c r="K5" s="548"/>
      <c r="L5" s="548"/>
      <c r="M5" s="548"/>
      <c r="N5" s="548"/>
      <c r="O5" s="545"/>
      <c r="P5" s="544"/>
      <c r="Q5" s="544"/>
      <c r="R5" s="544"/>
      <c r="S5" s="544"/>
      <c r="T5" s="544"/>
      <c r="U5" s="544"/>
      <c r="V5" s="544"/>
      <c r="W5" s="544"/>
      <c r="X5" s="544"/>
      <c r="Y5" s="544"/>
      <c r="Z5" s="544"/>
      <c r="AA5" s="544"/>
      <c r="AB5" s="544"/>
      <c r="AC5" s="544"/>
    </row>
    <row r="6" spans="1:29" ht="28.5" customHeight="1" x14ac:dyDescent="0.3">
      <c r="A6" s="21"/>
      <c r="B6" s="22"/>
      <c r="C6" s="26"/>
      <c r="N6" s="24"/>
      <c r="O6" s="545"/>
      <c r="P6" s="544"/>
      <c r="Q6" s="544"/>
      <c r="R6" s="544"/>
      <c r="S6" s="544"/>
      <c r="T6" s="544"/>
      <c r="U6" s="544"/>
      <c r="V6" s="544"/>
      <c r="W6" s="544"/>
      <c r="X6" s="544"/>
      <c r="Y6" s="544"/>
      <c r="Z6" s="544"/>
      <c r="AA6" s="544"/>
      <c r="AB6" s="544"/>
      <c r="AC6" s="544"/>
    </row>
    <row r="7" spans="1:29" ht="28.5" hidden="1" customHeight="1" x14ac:dyDescent="0.3">
      <c r="A7" s="21"/>
      <c r="B7" s="22"/>
      <c r="C7" s="26"/>
      <c r="N7" s="24"/>
      <c r="O7" s="545"/>
      <c r="P7" s="544"/>
      <c r="Q7" s="544"/>
      <c r="R7" s="544"/>
      <c r="S7" s="544"/>
      <c r="T7" s="544"/>
      <c r="U7" s="544"/>
      <c r="V7" s="544"/>
      <c r="W7" s="544"/>
      <c r="X7" s="544"/>
      <c r="Y7" s="544"/>
      <c r="Z7" s="544"/>
      <c r="AA7" s="544"/>
      <c r="AB7" s="544"/>
      <c r="AC7" s="544"/>
    </row>
    <row r="8" spans="1:29" ht="28.5" customHeight="1" x14ac:dyDescent="0.3">
      <c r="A8" s="21" t="s">
        <v>206</v>
      </c>
      <c r="B8" s="22"/>
      <c r="C8" s="134">
        <f>'Calcul IR 2'!J3</f>
        <v>47124</v>
      </c>
      <c r="D8" s="549" t="s">
        <v>207</v>
      </c>
      <c r="E8" s="549"/>
      <c r="F8" s="549"/>
      <c r="G8" s="549"/>
      <c r="H8" s="549"/>
      <c r="I8" s="549"/>
      <c r="J8" s="549"/>
      <c r="K8" s="549"/>
      <c r="L8" s="549"/>
      <c r="M8" s="549"/>
      <c r="N8" s="549"/>
      <c r="O8" s="545"/>
      <c r="P8" s="544"/>
      <c r="Q8" s="544"/>
      <c r="R8" s="544"/>
      <c r="S8" s="544"/>
      <c r="T8" s="544"/>
      <c r="U8" s="544"/>
      <c r="V8" s="544"/>
      <c r="W8" s="544"/>
      <c r="X8" s="544"/>
      <c r="Y8" s="544"/>
      <c r="Z8" s="544"/>
      <c r="AA8" s="544"/>
      <c r="AB8" s="544"/>
      <c r="AC8" s="544"/>
    </row>
    <row r="9" spans="1:29" ht="28.5" customHeight="1" x14ac:dyDescent="0.3">
      <c r="A9" s="27"/>
      <c r="B9" s="22"/>
      <c r="C9" s="28"/>
      <c r="N9" s="24"/>
      <c r="O9" s="545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</row>
    <row r="10" spans="1:29" ht="28.5" customHeight="1" x14ac:dyDescent="0.3">
      <c r="A10" s="29" t="s">
        <v>208</v>
      </c>
      <c r="B10" s="30"/>
      <c r="C10" s="31">
        <f>IF(C5=0,'Calcul IR 2'!O30,'Calcul IR 2'!O30+0.5)</f>
        <v>1</v>
      </c>
      <c r="N10" s="24"/>
      <c r="O10" s="545"/>
      <c r="P10" s="544"/>
      <c r="Q10" s="544"/>
      <c r="R10" s="544"/>
      <c r="S10" s="544"/>
      <c r="T10" s="544"/>
      <c r="U10" s="544"/>
      <c r="V10" s="544"/>
      <c r="W10" s="544"/>
      <c r="X10" s="544"/>
      <c r="Y10" s="544"/>
      <c r="Z10" s="544"/>
      <c r="AA10" s="544"/>
      <c r="AB10" s="544"/>
      <c r="AC10" s="544"/>
    </row>
    <row r="11" spans="1:29" ht="28.5" customHeight="1" x14ac:dyDescent="0.3">
      <c r="A11" s="27"/>
      <c r="B11" s="22"/>
      <c r="C11" s="28"/>
      <c r="N11" s="24"/>
      <c r="O11" s="545"/>
      <c r="P11" s="544"/>
      <c r="Q11" s="544"/>
      <c r="R11" s="544"/>
      <c r="S11" s="544"/>
      <c r="T11" s="544"/>
      <c r="U11" s="544"/>
      <c r="V11" s="544"/>
      <c r="W11" s="544"/>
      <c r="X11" s="544"/>
      <c r="Y11" s="544"/>
      <c r="Z11" s="544"/>
      <c r="AA11" s="544"/>
      <c r="AB11" s="544"/>
      <c r="AC11" s="544"/>
    </row>
    <row r="12" spans="1:29" ht="28.5" customHeight="1" x14ac:dyDescent="0.3">
      <c r="A12" s="32" t="s">
        <v>209</v>
      </c>
      <c r="B12" s="33"/>
      <c r="C12" s="125">
        <f>IF(OR(C3="Célibataire",C3="Divorcé",C3="Veuf",C3="Concubinage"),'Calcul IR 2'!I20,'Calcul IR 2'!I39)</f>
        <v>8154.84</v>
      </c>
      <c r="N12" s="24"/>
      <c r="O12" s="545"/>
      <c r="P12" s="544"/>
      <c r="Q12" s="544"/>
      <c r="R12" s="544"/>
      <c r="S12" s="544"/>
      <c r="T12" s="544"/>
      <c r="U12" s="544"/>
      <c r="V12" s="544"/>
      <c r="W12" s="544"/>
      <c r="X12" s="544"/>
      <c r="Y12" s="544"/>
      <c r="Z12" s="544"/>
      <c r="AA12" s="544"/>
      <c r="AB12" s="544"/>
      <c r="AC12" s="544"/>
    </row>
    <row r="13" spans="1:29" ht="28.5" customHeight="1" x14ac:dyDescent="0.3">
      <c r="A13" s="32" t="s">
        <v>191</v>
      </c>
      <c r="B13" s="33"/>
      <c r="C13" s="40">
        <f>IF(OR(C3="Célibataire",C3="Divorcé",C3="Veuf",C3="Concubinage"),'Calcul IR 2'!I21, 'Calcul IR 2'!I40)</f>
        <v>0</v>
      </c>
      <c r="D13" s="550" t="s">
        <v>210</v>
      </c>
      <c r="E13" s="550"/>
      <c r="F13" s="550"/>
      <c r="G13" s="550"/>
      <c r="H13" s="550"/>
      <c r="I13" s="550"/>
      <c r="J13" s="550"/>
      <c r="K13" s="550"/>
      <c r="L13" s="550"/>
      <c r="M13" s="550"/>
      <c r="N13" s="551"/>
      <c r="O13" s="545"/>
      <c r="P13" s="544"/>
      <c r="Q13" s="544"/>
      <c r="R13" s="544"/>
      <c r="S13" s="544"/>
      <c r="T13" s="544"/>
      <c r="U13" s="544"/>
      <c r="V13" s="544"/>
      <c r="W13" s="544"/>
      <c r="X13" s="544"/>
      <c r="Y13" s="544"/>
      <c r="Z13" s="544"/>
      <c r="AA13" s="544"/>
      <c r="AB13" s="544"/>
      <c r="AC13" s="544"/>
    </row>
    <row r="14" spans="1:29" ht="34.5" customHeight="1" x14ac:dyDescent="0.3">
      <c r="A14" s="34" t="s">
        <v>38</v>
      </c>
      <c r="B14" s="35"/>
      <c r="C14" s="36">
        <f>IF(OR(C3="Célibataire",C3="Divorcé",C3="Veuf",C3="Concubinage"),'Calcul IR 2'!I22, 'Calcul IR 2'!I41)</f>
        <v>8154.84</v>
      </c>
      <c r="D14" s="124">
        <f>IF((C14-'Etat Civil'!G28)&lt;=0,0-'Etat Civil'!G29,C14-'Etat Civil'!G28-'Etat Civil'!G29)</f>
        <v>8154.84</v>
      </c>
      <c r="N14" s="24"/>
      <c r="O14" s="545"/>
      <c r="P14" s="544"/>
      <c r="Q14" s="544"/>
      <c r="R14" s="544"/>
      <c r="S14" s="544"/>
      <c r="T14" s="544"/>
      <c r="U14" s="544"/>
      <c r="V14" s="544"/>
      <c r="W14" s="544"/>
      <c r="X14" s="544"/>
      <c r="Y14" s="544"/>
      <c r="Z14" s="544"/>
      <c r="AA14" s="544"/>
      <c r="AB14" s="544"/>
      <c r="AC14" s="544"/>
    </row>
    <row r="15" spans="1:29" x14ac:dyDescent="0.3">
      <c r="A15" s="552" t="s">
        <v>211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3"/>
      <c r="M15" s="553"/>
      <c r="N15" s="554"/>
      <c r="O15" s="545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544"/>
      <c r="AB15" s="544"/>
      <c r="AC15" s="544"/>
    </row>
    <row r="16" spans="1:29" x14ac:dyDescent="0.3">
      <c r="A16" s="20"/>
      <c r="N16" s="24"/>
      <c r="O16" s="545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</row>
    <row r="17" spans="1:29" hidden="1" x14ac:dyDescent="0.3">
      <c r="A17" s="20"/>
      <c r="N17" s="24"/>
      <c r="O17" s="545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</row>
    <row r="18" spans="1:29" ht="15" hidden="1" customHeight="1" x14ac:dyDescent="0.3">
      <c r="A18" s="20"/>
      <c r="N18" s="24"/>
      <c r="O18" s="545"/>
      <c r="P18" s="544"/>
      <c r="Q18" s="544"/>
      <c r="R18" s="544"/>
      <c r="S18" s="544"/>
      <c r="T18" s="544"/>
      <c r="U18" s="544"/>
      <c r="V18" s="544"/>
      <c r="W18" s="544"/>
      <c r="X18" s="544"/>
      <c r="Y18" s="544"/>
      <c r="Z18" s="544"/>
      <c r="AA18" s="544"/>
      <c r="AB18" s="544"/>
      <c r="AC18" s="544"/>
    </row>
    <row r="19" spans="1:29" ht="15" thickBot="1" x14ac:dyDescent="0.3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545"/>
      <c r="P19" s="544"/>
      <c r="Q19" s="544"/>
      <c r="R19" s="544"/>
      <c r="S19" s="544"/>
      <c r="T19" s="544"/>
      <c r="U19" s="544"/>
      <c r="V19" s="544"/>
      <c r="W19" s="544"/>
      <c r="X19" s="544"/>
      <c r="Y19" s="544"/>
      <c r="Z19" s="544"/>
      <c r="AA19" s="544"/>
      <c r="AB19" s="544"/>
      <c r="AC19" s="544"/>
    </row>
  </sheetData>
  <sheetProtection algorithmName="SHA-512" hashValue="YfeYypQJw51q8moqcb8/KK2Qhnbs+HJEo9a8ZfCh9Mq5xlQWDMxZbw00h0okyzZTRX0FEmWd05NDZpIyprJvow==" saltValue="Zas5lBxUecp2txmBDGMuZ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09765625" defaultRowHeight="14.4" x14ac:dyDescent="0.3"/>
  <cols>
    <col min="1" max="1" width="10.09765625" style="16"/>
    <col min="2" max="2" width="11.8984375" style="16" bestFit="1" customWidth="1"/>
    <col min="3" max="3" width="12" style="16" bestFit="1" customWidth="1"/>
    <col min="4" max="4" width="10.09765625" style="16"/>
    <col min="5" max="5" width="11" style="16" bestFit="1" customWidth="1"/>
    <col min="6" max="6" width="11.8984375" style="16" bestFit="1" customWidth="1"/>
    <col min="7" max="7" width="4.59765625" style="16" customWidth="1"/>
    <col min="8" max="8" width="26" style="16" customWidth="1"/>
    <col min="9" max="9" width="10.8984375" style="16" bestFit="1" customWidth="1"/>
    <col min="10" max="10" width="11.8984375" style="16" bestFit="1" customWidth="1"/>
    <col min="11" max="14" width="10.09765625" style="16"/>
    <col min="15" max="15" width="24.09765625" style="16" customWidth="1"/>
    <col min="16" max="16384" width="10.09765625" style="16"/>
  </cols>
  <sheetData>
    <row r="1" spans="1:15" ht="15" thickBot="1" x14ac:dyDescent="0.35">
      <c r="A1" s="555" t="s">
        <v>212</v>
      </c>
      <c r="B1" s="556"/>
      <c r="C1" s="556"/>
      <c r="D1" s="556"/>
      <c r="E1" s="556"/>
      <c r="F1" s="556"/>
      <c r="G1" s="556"/>
      <c r="H1" s="556"/>
      <c r="I1" s="556"/>
      <c r="J1" s="557"/>
    </row>
    <row r="3" spans="1:15" x14ac:dyDescent="0.3">
      <c r="B3" s="521" t="s">
        <v>213</v>
      </c>
      <c r="C3" s="521"/>
      <c r="D3" s="521"/>
      <c r="E3" s="521"/>
      <c r="F3" s="521"/>
      <c r="H3" s="16" t="s">
        <v>170</v>
      </c>
      <c r="J3" s="127">
        <f>(('Etat Civil'!H8*'Prévision retraite'!B22)*0.9)+(('Etat Civil'!H13*'Prévision retraite'!B22)*0.9)+'Etat Civil'!H10*'Prévision retraite'!B22+'Etat Civil'!H15*'Prévision retraite'!B22+SUM('Prévision retraite'!F14:F17)*0.8</f>
        <v>23562</v>
      </c>
    </row>
    <row r="4" spans="1:15" x14ac:dyDescent="0.3">
      <c r="H4" s="16" t="s">
        <v>214</v>
      </c>
      <c r="J4" s="16">
        <f>'Prévision retraite'!C22</f>
        <v>2</v>
      </c>
      <c r="M4" s="16">
        <v>0</v>
      </c>
      <c r="O4" s="16" t="s">
        <v>172</v>
      </c>
    </row>
    <row r="5" spans="1:15" x14ac:dyDescent="0.3">
      <c r="B5" s="51">
        <v>0</v>
      </c>
      <c r="C5" s="51">
        <v>10064</v>
      </c>
      <c r="D5" s="17">
        <f>0</f>
        <v>0</v>
      </c>
      <c r="E5" s="51">
        <f>0</f>
        <v>0</v>
      </c>
      <c r="F5" s="51"/>
      <c r="M5" s="16">
        <v>1</v>
      </c>
      <c r="O5" s="16" t="s">
        <v>173</v>
      </c>
    </row>
    <row r="6" spans="1:15" x14ac:dyDescent="0.3">
      <c r="B6" s="51">
        <v>10065</v>
      </c>
      <c r="C6" s="51">
        <v>27794</v>
      </c>
      <c r="D6" s="17">
        <f>0.14</f>
        <v>0.14000000000000001</v>
      </c>
      <c r="E6" s="51">
        <f>(C6-B6)*D6</f>
        <v>2482.0600000000004</v>
      </c>
      <c r="F6" s="51"/>
      <c r="M6" s="16">
        <v>2</v>
      </c>
      <c r="O6" s="16" t="s">
        <v>174</v>
      </c>
    </row>
    <row r="7" spans="1:15" x14ac:dyDescent="0.3">
      <c r="B7" s="51">
        <v>27795</v>
      </c>
      <c r="C7" s="51">
        <v>74517</v>
      </c>
      <c r="D7" s="17">
        <f>0.3</f>
        <v>0.3</v>
      </c>
      <c r="E7" s="51">
        <f>(C7-B7)*0.3</f>
        <v>14016.6</v>
      </c>
      <c r="F7" s="51">
        <f>E7+E6</f>
        <v>16498.66</v>
      </c>
      <c r="M7" s="16">
        <v>3</v>
      </c>
    </row>
    <row r="8" spans="1:15" x14ac:dyDescent="0.3">
      <c r="B8" s="51">
        <v>74518</v>
      </c>
      <c r="C8" s="51">
        <v>157807</v>
      </c>
      <c r="D8" s="17">
        <v>0.41</v>
      </c>
      <c r="E8" s="51">
        <f>(C8-B8)*D8</f>
        <v>34148.49</v>
      </c>
      <c r="F8" s="51">
        <f>SUM(E6:E8)</f>
        <v>50647.149999999994</v>
      </c>
      <c r="M8" s="16">
        <v>4</v>
      </c>
    </row>
    <row r="9" spans="1:15" x14ac:dyDescent="0.3">
      <c r="D9" s="17">
        <f>0.45</f>
        <v>0.45</v>
      </c>
      <c r="M9" s="16">
        <v>5</v>
      </c>
    </row>
    <row r="10" spans="1:15" x14ac:dyDescent="0.3">
      <c r="H10" s="16" t="s">
        <v>215</v>
      </c>
      <c r="I10" s="51">
        <f>IF(J3&gt;=C8, (J3-C8)*D9+E8+E7+E6, IF(J3&gt;=C7, (J3-C7)*D8+E7+E6, IF(J3&gt;=C6, (J3-C6)*D7+E6, IF(J3&gt;=C5, (J3-C5)*D6, 0))))</f>
        <v>1889.7200000000003</v>
      </c>
    </row>
    <row r="11" spans="1:15" x14ac:dyDescent="0.3">
      <c r="B11" s="16" t="s">
        <v>216</v>
      </c>
      <c r="H11" s="16" t="s">
        <v>217</v>
      </c>
      <c r="I11" s="51">
        <f>IF(J3&gt;=C28, (J3-C28)*D29+E28+E27+E26, IF(J3&gt;=C27, (J3-C27)*D28+E27+E26, IF(J3&gt;=C26, (J3-C26)*D27+E26, IF(J3&gt;=C25, (J3-C25)*D26, 0))))</f>
        <v>480.76000000000005</v>
      </c>
    </row>
    <row r="12" spans="1:15" x14ac:dyDescent="0.3">
      <c r="I12" s="18"/>
    </row>
    <row r="13" spans="1:15" x14ac:dyDescent="0.3">
      <c r="H13" s="16" t="s">
        <v>218</v>
      </c>
      <c r="I13" s="18">
        <f>IF('Impôt Retraite'!C5="Parent isolé (T)", 1,0)</f>
        <v>0</v>
      </c>
    </row>
    <row r="14" spans="1:15" x14ac:dyDescent="0.3">
      <c r="H14" s="16" t="s">
        <v>219</v>
      </c>
      <c r="I14" s="18">
        <f>IF('Impôt Retraite'!C5="Enfant élevé seul (L)", 1, 0)</f>
        <v>0</v>
      </c>
    </row>
    <row r="15" spans="1:15" x14ac:dyDescent="0.3">
      <c r="H15" s="16" t="s">
        <v>198</v>
      </c>
      <c r="I15" s="18">
        <f>IF('Impôt Retraite'!C5="Invalidité", 1,0)</f>
        <v>0</v>
      </c>
    </row>
    <row r="16" spans="1:15" ht="15" thickBot="1" x14ac:dyDescent="0.35">
      <c r="H16" s="16" t="s">
        <v>220</v>
      </c>
      <c r="I16" s="18">
        <f>IF('Impôt Retraite'!C5=0, (J4-1)*2, (J4-1)*2-1)</f>
        <v>2</v>
      </c>
    </row>
    <row r="17" spans="1:17" x14ac:dyDescent="0.3">
      <c r="A17" s="48">
        <v>1567</v>
      </c>
      <c r="B17" s="41" t="s">
        <v>221</v>
      </c>
      <c r="C17" s="41"/>
      <c r="D17" s="41"/>
      <c r="E17" s="41"/>
      <c r="F17" s="42"/>
      <c r="H17" s="16" t="s">
        <v>184</v>
      </c>
      <c r="I17" s="51">
        <f>I10-A17*I16-I13*A19-I14*A18-I15*A20</f>
        <v>-1244.2799999999997</v>
      </c>
      <c r="O17" s="16" t="s">
        <v>185</v>
      </c>
      <c r="P17" s="16">
        <v>0</v>
      </c>
      <c r="Q17" s="16">
        <v>1</v>
      </c>
    </row>
    <row r="18" spans="1:17" x14ac:dyDescent="0.3">
      <c r="A18" s="49">
        <v>936</v>
      </c>
      <c r="B18" s="43" t="s">
        <v>186</v>
      </c>
      <c r="C18" s="43"/>
      <c r="D18" s="43"/>
      <c r="E18" s="43"/>
      <c r="F18" s="44"/>
      <c r="I18" s="18"/>
      <c r="P18" s="16">
        <v>1</v>
      </c>
      <c r="Q18" s="16">
        <v>1.5</v>
      </c>
    </row>
    <row r="19" spans="1:17" x14ac:dyDescent="0.3">
      <c r="A19" s="49">
        <f>3697-1567</f>
        <v>2130</v>
      </c>
      <c r="B19" s="43" t="s">
        <v>222</v>
      </c>
      <c r="C19" s="43"/>
      <c r="D19" s="43"/>
      <c r="E19" s="43"/>
      <c r="F19" s="44"/>
      <c r="I19" s="18"/>
      <c r="P19" s="16">
        <v>2</v>
      </c>
      <c r="Q19" s="16">
        <v>2</v>
      </c>
    </row>
    <row r="20" spans="1:17" x14ac:dyDescent="0.3">
      <c r="A20" s="49">
        <v>3129</v>
      </c>
      <c r="B20" s="43" t="s">
        <v>223</v>
      </c>
      <c r="C20" s="43"/>
      <c r="D20" s="43"/>
      <c r="E20" s="43"/>
      <c r="F20" s="44"/>
      <c r="H20" s="16" t="s">
        <v>189</v>
      </c>
      <c r="I20" s="51">
        <f>IF(I11&gt;I17, I11, I17)</f>
        <v>480.76000000000005</v>
      </c>
      <c r="P20" s="16">
        <v>3</v>
      </c>
      <c r="Q20" s="16">
        <v>3</v>
      </c>
    </row>
    <row r="21" spans="1:17" ht="15" thickBot="1" x14ac:dyDescent="0.35">
      <c r="A21" s="45"/>
      <c r="B21" s="46" t="s">
        <v>224</v>
      </c>
      <c r="C21" s="46"/>
      <c r="D21" s="46"/>
      <c r="E21" s="46"/>
      <c r="F21" s="47"/>
      <c r="H21" s="16" t="s">
        <v>191</v>
      </c>
      <c r="I21" s="51">
        <f>IF(I20&lt;=1611, (1611*0.75-I20*0.75), 0)</f>
        <v>847.68</v>
      </c>
      <c r="P21" s="16">
        <v>4</v>
      </c>
      <c r="Q21" s="16">
        <v>4</v>
      </c>
    </row>
    <row r="22" spans="1:17" x14ac:dyDescent="0.3">
      <c r="H22" s="16" t="s">
        <v>192</v>
      </c>
      <c r="I22" s="51">
        <f>IF(I21&gt;I20, 0, I20-I21)</f>
        <v>0</v>
      </c>
    </row>
    <row r="23" spans="1:17" x14ac:dyDescent="0.3">
      <c r="B23" s="521" t="s">
        <v>193</v>
      </c>
      <c r="C23" s="521"/>
      <c r="D23" s="521"/>
      <c r="E23" s="521"/>
      <c r="F23" s="521"/>
      <c r="O23" s="16" t="s">
        <v>21</v>
      </c>
      <c r="P23" s="16">
        <v>0</v>
      </c>
      <c r="Q23" s="16">
        <v>2</v>
      </c>
    </row>
    <row r="24" spans="1:17" x14ac:dyDescent="0.3">
      <c r="P24" s="16">
        <v>1</v>
      </c>
      <c r="Q24" s="16">
        <v>2.5</v>
      </c>
    </row>
    <row r="25" spans="1:17" x14ac:dyDescent="0.3">
      <c r="B25" s="51">
        <v>0</v>
      </c>
      <c r="C25" s="51">
        <f>C5*$J$4</f>
        <v>20128</v>
      </c>
      <c r="D25" s="17">
        <f>0</f>
        <v>0</v>
      </c>
      <c r="E25" s="51">
        <f>0</f>
        <v>0</v>
      </c>
      <c r="F25" s="51"/>
      <c r="P25" s="16">
        <v>2</v>
      </c>
      <c r="Q25" s="16">
        <v>3</v>
      </c>
    </row>
    <row r="26" spans="1:17" x14ac:dyDescent="0.3">
      <c r="B26" s="51">
        <f>B6*$J$4</f>
        <v>20130</v>
      </c>
      <c r="C26" s="51">
        <f>C6*$J$4</f>
        <v>55588</v>
      </c>
      <c r="D26" s="17">
        <f>0.14</f>
        <v>0.14000000000000001</v>
      </c>
      <c r="E26" s="51">
        <f>(C26-B26)*D26</f>
        <v>4964.1200000000008</v>
      </c>
      <c r="F26" s="51"/>
      <c r="P26" s="16">
        <v>3</v>
      </c>
      <c r="Q26" s="16">
        <v>4</v>
      </c>
    </row>
    <row r="27" spans="1:17" x14ac:dyDescent="0.3">
      <c r="B27" s="51">
        <f>B7*$J$4</f>
        <v>55590</v>
      </c>
      <c r="C27" s="51">
        <f>C7*$J$4</f>
        <v>149034</v>
      </c>
      <c r="D27" s="17">
        <f>0.3</f>
        <v>0.3</v>
      </c>
      <c r="E27" s="51">
        <f>(C27-B27)*0.3</f>
        <v>28033.200000000001</v>
      </c>
      <c r="F27" s="51">
        <f>E27+E26</f>
        <v>32997.32</v>
      </c>
      <c r="P27" s="16">
        <v>4</v>
      </c>
      <c r="Q27" s="16">
        <v>5</v>
      </c>
    </row>
    <row r="28" spans="1:17" x14ac:dyDescent="0.3">
      <c r="B28" s="51">
        <f>B8*$J$4</f>
        <v>149036</v>
      </c>
      <c r="C28" s="51">
        <f>C8*$J$4</f>
        <v>315614</v>
      </c>
      <c r="D28" s="17">
        <v>0.41</v>
      </c>
      <c r="E28" s="51">
        <f>(C28-B28)*D28</f>
        <v>68296.98</v>
      </c>
      <c r="F28" s="51">
        <f>SUM(E26:E28)</f>
        <v>101294.29999999999</v>
      </c>
    </row>
    <row r="29" spans="1:17" x14ac:dyDescent="0.3">
      <c r="D29" s="17">
        <f>0.45</f>
        <v>0.45</v>
      </c>
    </row>
    <row r="30" spans="1:17" ht="15" thickBot="1" x14ac:dyDescent="0.35">
      <c r="O30" s="16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Civil'!C20="Alternée",IF('Etat Civil'!G30=1,0.25,IF('Etat Civil'!G30=2,0.5,IF('Etat Civil'!G30=3,1,IF('Etat Civil'!G30=4,1.5,2)))),0)</f>
        <v>1</v>
      </c>
    </row>
    <row r="31" spans="1:17" ht="15" thickBot="1" x14ac:dyDescent="0.35">
      <c r="A31" s="555" t="s">
        <v>194</v>
      </c>
      <c r="B31" s="556"/>
      <c r="C31" s="556"/>
      <c r="D31" s="556"/>
      <c r="E31" s="556"/>
      <c r="F31" s="556"/>
      <c r="G31" s="556"/>
      <c r="H31" s="556"/>
      <c r="I31" s="556"/>
      <c r="J31" s="557"/>
    </row>
    <row r="32" spans="1:17" x14ac:dyDescent="0.3">
      <c r="A32" s="156"/>
      <c r="B32" s="156"/>
      <c r="C32" s="156"/>
      <c r="D32" s="156"/>
      <c r="E32" s="156"/>
      <c r="F32" s="156"/>
      <c r="G32" s="156"/>
      <c r="H32" s="156"/>
      <c r="I32" s="156"/>
      <c r="J32" s="156"/>
    </row>
    <row r="33" spans="2:19" x14ac:dyDescent="0.3">
      <c r="B33" s="51">
        <f>B5*2</f>
        <v>0</v>
      </c>
      <c r="C33" s="51">
        <f>C5*2</f>
        <v>20128</v>
      </c>
      <c r="D33" s="17">
        <v>0</v>
      </c>
      <c r="E33" s="51">
        <v>0</v>
      </c>
      <c r="F33" s="51"/>
      <c r="H33" s="16" t="s">
        <v>225</v>
      </c>
      <c r="I33" s="51">
        <f>IF(J3&gt;=C37, (J3-C37)*D38+E37+E36+E34, IF(J3&gt;=C36, (J3-C36)*D37+E36+E34, IF(J3&gt;=C34, (J3-C34)*D36+E34, IF(J3&gt;=C33, (J3-C33)*D34, 0))))</f>
        <v>480.76000000000005</v>
      </c>
    </row>
    <row r="34" spans="2:19" x14ac:dyDescent="0.3">
      <c r="B34" s="51">
        <f t="shared" ref="B34:C34" si="0">B6*2</f>
        <v>20130</v>
      </c>
      <c r="C34" s="51">
        <f t="shared" si="0"/>
        <v>55588</v>
      </c>
      <c r="D34" s="17">
        <v>0.14000000000000001</v>
      </c>
      <c r="E34" s="51">
        <f>(C34-B34)*D34</f>
        <v>4964.1200000000008</v>
      </c>
      <c r="F34" s="51"/>
      <c r="H34" s="16" t="s">
        <v>217</v>
      </c>
      <c r="I34" s="51">
        <f>IF(J3&gt;=C28, (J3-C28)*D29+E28+E27+E26, IF(J3&gt;=C27, (J3-C27)*D28+E27+E26, IF(J3&gt;=C26, (J3-C26)*D27+E26, IF(J3&gt;=C25, (J3-C25)*D26, 0))))</f>
        <v>480.76000000000005</v>
      </c>
      <c r="O34" s="16">
        <f>1196*1.01</f>
        <v>1207.96</v>
      </c>
    </row>
    <row r="35" spans="2:19" x14ac:dyDescent="0.3">
      <c r="B35" s="51"/>
      <c r="C35" s="51"/>
      <c r="D35" s="17"/>
      <c r="E35" s="51"/>
      <c r="F35" s="51"/>
      <c r="H35" s="16" t="s">
        <v>198</v>
      </c>
      <c r="I35" s="18">
        <f>IF('Impôt Retraite'!C5="Invalidité", 1,0)</f>
        <v>0</v>
      </c>
      <c r="O35" s="16">
        <f>1970*(1+O36)</f>
        <v>1989.7</v>
      </c>
      <c r="R35" s="16">
        <f>1208-0.75*1000</f>
        <v>458</v>
      </c>
      <c r="S35" s="16">
        <v>1611</v>
      </c>
    </row>
    <row r="36" spans="2:19" x14ac:dyDescent="0.3">
      <c r="B36" s="51">
        <f>B7*2</f>
        <v>55590</v>
      </c>
      <c r="C36" s="51">
        <f>C7*2</f>
        <v>149034</v>
      </c>
      <c r="D36" s="17">
        <v>0.3</v>
      </c>
      <c r="E36" s="51">
        <f>(C36-B36)*D36</f>
        <v>28033.200000000001</v>
      </c>
      <c r="F36" s="51">
        <f>E34+E36</f>
        <v>32997.32</v>
      </c>
      <c r="H36" s="16" t="s">
        <v>226</v>
      </c>
      <c r="I36" s="18">
        <f>MAX(0,IF('Impôt Retraite'!C5=0, (J4-2)*2, (J4-2)*2-1))</f>
        <v>0</v>
      </c>
      <c r="O36" s="16">
        <v>0.01</v>
      </c>
      <c r="S36" s="16">
        <v>2653</v>
      </c>
    </row>
    <row r="37" spans="2:19" x14ac:dyDescent="0.3">
      <c r="B37" s="51">
        <f>B8*2</f>
        <v>149036</v>
      </c>
      <c r="C37" s="51">
        <f>C8*2</f>
        <v>315614</v>
      </c>
      <c r="D37" s="17">
        <v>0.41</v>
      </c>
      <c r="E37" s="51">
        <f>(C37-B37)*D37</f>
        <v>68296.98</v>
      </c>
      <c r="F37" s="51">
        <f>E34+E36+E37</f>
        <v>101294.29999999999</v>
      </c>
      <c r="H37" s="16" t="s">
        <v>184</v>
      </c>
      <c r="I37" s="51">
        <f>I33-A17*I36-I35*A20</f>
        <v>480.76000000000005</v>
      </c>
    </row>
    <row r="38" spans="2:19" x14ac:dyDescent="0.3">
      <c r="D38" s="17">
        <v>0.45</v>
      </c>
      <c r="I38" s="51"/>
    </row>
    <row r="39" spans="2:19" x14ac:dyDescent="0.3">
      <c r="H39" s="16" t="s">
        <v>189</v>
      </c>
      <c r="I39" s="51">
        <f>IF(I34&gt;I37, I34, I37)</f>
        <v>480.76000000000005</v>
      </c>
    </row>
    <row r="40" spans="2:19" x14ac:dyDescent="0.3">
      <c r="H40" s="16" t="s">
        <v>191</v>
      </c>
      <c r="I40" s="51">
        <f>IF(I39&lt;=2653, 2653*0.75-I39*0.75, 0)</f>
        <v>1629.1799999999998</v>
      </c>
    </row>
    <row r="41" spans="2:19" x14ac:dyDescent="0.3">
      <c r="H41" s="16" t="s">
        <v>192</v>
      </c>
      <c r="I41" s="51">
        <f>IF(I40&gt;I39, 0, I39-I40)</f>
        <v>0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19"/>
    <col min="2" max="2" width="20.3984375" style="19" customWidth="1"/>
    <col min="3" max="3" width="26.09765625" style="19" customWidth="1"/>
    <col min="4" max="4" width="15.59765625" style="19" bestFit="1" customWidth="1"/>
    <col min="5" max="16384" width="10.09765625" style="19"/>
  </cols>
  <sheetData>
    <row r="1" spans="1:29" ht="28.8" x14ac:dyDescent="0.55000000000000004">
      <c r="A1" s="540" t="s">
        <v>200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2"/>
      <c r="O1" s="543" t="s">
        <v>201</v>
      </c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</row>
    <row r="2" spans="1:29" ht="15.6" x14ac:dyDescent="0.3">
      <c r="A2" s="20"/>
      <c r="K2" s="546" t="s">
        <v>202</v>
      </c>
      <c r="L2" s="546"/>
      <c r="M2" s="546"/>
      <c r="N2" s="547"/>
      <c r="O2" s="545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</row>
    <row r="3" spans="1:29" ht="28.5" customHeight="1" x14ac:dyDescent="0.3">
      <c r="A3" s="21" t="s">
        <v>203</v>
      </c>
      <c r="B3" s="22"/>
      <c r="C3" s="23" t="str">
        <f>'Etat Civil'!C17</f>
        <v>Concubinage</v>
      </c>
      <c r="N3" s="24"/>
      <c r="O3" s="545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</row>
    <row r="4" spans="1:29" ht="28.5" customHeight="1" x14ac:dyDescent="0.3">
      <c r="A4" s="21" t="s">
        <v>204</v>
      </c>
      <c r="B4" s="22"/>
      <c r="C4" s="23">
        <v>0</v>
      </c>
      <c r="N4" s="24"/>
      <c r="O4" s="545"/>
      <c r="P4" s="544"/>
      <c r="Q4" s="544"/>
      <c r="R4" s="544"/>
      <c r="S4" s="544"/>
      <c r="T4" s="544"/>
      <c r="U4" s="544"/>
      <c r="V4" s="544"/>
      <c r="W4" s="544"/>
      <c r="X4" s="544"/>
      <c r="Y4" s="544"/>
      <c r="Z4" s="544"/>
      <c r="AA4" s="544"/>
      <c r="AB4" s="544"/>
      <c r="AC4" s="544"/>
    </row>
    <row r="5" spans="1:29" ht="28.5" customHeight="1" x14ac:dyDescent="0.3">
      <c r="A5" s="21" t="s">
        <v>27</v>
      </c>
      <c r="B5" s="22"/>
      <c r="C5" s="25">
        <f>IF('Etat Civil'!C19="Parent isolé (T)",0,'Etat Civil'!C19)</f>
        <v>0</v>
      </c>
      <c r="D5" s="548" t="s">
        <v>205</v>
      </c>
      <c r="E5" s="548"/>
      <c r="F5" s="548"/>
      <c r="G5" s="548"/>
      <c r="H5" s="548"/>
      <c r="I5" s="548"/>
      <c r="J5" s="548"/>
      <c r="K5" s="548"/>
      <c r="L5" s="548"/>
      <c r="M5" s="548"/>
      <c r="N5" s="548"/>
      <c r="O5" s="545"/>
      <c r="P5" s="544"/>
      <c r="Q5" s="544"/>
      <c r="R5" s="544"/>
      <c r="S5" s="544"/>
      <c r="T5" s="544"/>
      <c r="U5" s="544"/>
      <c r="V5" s="544"/>
      <c r="W5" s="544"/>
      <c r="X5" s="544"/>
      <c r="Y5" s="544"/>
      <c r="Z5" s="544"/>
      <c r="AA5" s="544"/>
      <c r="AB5" s="544"/>
      <c r="AC5" s="544"/>
    </row>
    <row r="6" spans="1:29" ht="28.5" customHeight="1" x14ac:dyDescent="0.3">
      <c r="A6" s="21"/>
      <c r="B6" s="22"/>
      <c r="C6" s="26"/>
      <c r="N6" s="24"/>
      <c r="O6" s="545"/>
      <c r="P6" s="544"/>
      <c r="Q6" s="544"/>
      <c r="R6" s="544"/>
      <c r="S6" s="544"/>
      <c r="T6" s="544"/>
      <c r="U6" s="544"/>
      <c r="V6" s="544"/>
      <c r="W6" s="544"/>
      <c r="X6" s="544"/>
      <c r="Y6" s="544"/>
      <c r="Z6" s="544"/>
      <c r="AA6" s="544"/>
      <c r="AB6" s="544"/>
      <c r="AC6" s="544"/>
    </row>
    <row r="7" spans="1:29" ht="28.5" hidden="1" customHeight="1" x14ac:dyDescent="0.3">
      <c r="A7" s="21"/>
      <c r="B7" s="22"/>
      <c r="C7" s="26"/>
      <c r="N7" s="24"/>
      <c r="O7" s="545"/>
      <c r="P7" s="544"/>
      <c r="Q7" s="544"/>
      <c r="R7" s="544"/>
      <c r="S7" s="544"/>
      <c r="T7" s="544"/>
      <c r="U7" s="544"/>
      <c r="V7" s="544"/>
      <c r="W7" s="544"/>
      <c r="X7" s="544"/>
      <c r="Y7" s="544"/>
      <c r="Z7" s="544"/>
      <c r="AA7" s="544"/>
      <c r="AB7" s="544"/>
      <c r="AC7" s="544"/>
    </row>
    <row r="8" spans="1:29" ht="28.5" customHeight="1" x14ac:dyDescent="0.3">
      <c r="A8" s="21" t="s">
        <v>206</v>
      </c>
      <c r="B8" s="22"/>
      <c r="C8" s="134">
        <f>'Calcul IR Bis Retraite'!J3</f>
        <v>23562</v>
      </c>
      <c r="D8" s="549" t="s">
        <v>207</v>
      </c>
      <c r="E8" s="549"/>
      <c r="F8" s="549"/>
      <c r="G8" s="549"/>
      <c r="H8" s="549"/>
      <c r="I8" s="549"/>
      <c r="J8" s="549"/>
      <c r="K8" s="549"/>
      <c r="L8" s="549"/>
      <c r="M8" s="549"/>
      <c r="N8" s="549"/>
      <c r="O8" s="545"/>
      <c r="P8" s="544"/>
      <c r="Q8" s="544"/>
      <c r="R8" s="544"/>
      <c r="S8" s="544"/>
      <c r="T8" s="544"/>
      <c r="U8" s="544"/>
      <c r="V8" s="544"/>
      <c r="W8" s="544"/>
      <c r="X8" s="544"/>
      <c r="Y8" s="544"/>
      <c r="Z8" s="544"/>
      <c r="AA8" s="544"/>
      <c r="AB8" s="544"/>
      <c r="AC8" s="544"/>
    </row>
    <row r="9" spans="1:29" ht="28.5" customHeight="1" x14ac:dyDescent="0.3">
      <c r="A9" s="27"/>
      <c r="B9" s="22"/>
      <c r="C9" s="28"/>
      <c r="N9" s="24"/>
      <c r="O9" s="545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</row>
    <row r="10" spans="1:29" ht="28.5" customHeight="1" x14ac:dyDescent="0.3">
      <c r="A10" s="29" t="s">
        <v>208</v>
      </c>
      <c r="B10" s="30"/>
      <c r="C10" s="31">
        <f>IF(C5=0,'Calcul IR Bis Retraite'!O30,'Calcul IR Bis Retraite'!O30+0.5)</f>
        <v>1</v>
      </c>
      <c r="N10" s="24"/>
      <c r="O10" s="545"/>
      <c r="P10" s="544"/>
      <c r="Q10" s="544"/>
      <c r="R10" s="544"/>
      <c r="S10" s="544"/>
      <c r="T10" s="544"/>
      <c r="U10" s="544"/>
      <c r="V10" s="544"/>
      <c r="W10" s="544"/>
      <c r="X10" s="544"/>
      <c r="Y10" s="544"/>
      <c r="Z10" s="544"/>
      <c r="AA10" s="544"/>
      <c r="AB10" s="544"/>
      <c r="AC10" s="544"/>
    </row>
    <row r="11" spans="1:29" ht="28.5" customHeight="1" x14ac:dyDescent="0.3">
      <c r="A11" s="27"/>
      <c r="B11" s="22"/>
      <c r="C11" s="28"/>
      <c r="N11" s="24"/>
      <c r="O11" s="545"/>
      <c r="P11" s="544"/>
      <c r="Q11" s="544"/>
      <c r="R11" s="544"/>
      <c r="S11" s="544"/>
      <c r="T11" s="544"/>
      <c r="U11" s="544"/>
      <c r="V11" s="544"/>
      <c r="W11" s="544"/>
      <c r="X11" s="544"/>
      <c r="Y11" s="544"/>
      <c r="Z11" s="544"/>
      <c r="AA11" s="544"/>
      <c r="AB11" s="544"/>
      <c r="AC11" s="544"/>
    </row>
    <row r="12" spans="1:29" ht="28.5" customHeight="1" x14ac:dyDescent="0.3">
      <c r="A12" s="32" t="s">
        <v>209</v>
      </c>
      <c r="B12" s="33"/>
      <c r="C12" s="125">
        <f>IF(OR(C3="Célibataire",C3="Divorcé",C3="Veuf",C3="Concubinage"),'Calcul IR Bis Retraite'!I20, 'Calcul IR Bis Retraite'!I39)</f>
        <v>480.76000000000005</v>
      </c>
      <c r="N12" s="24"/>
      <c r="O12" s="545"/>
      <c r="P12" s="544"/>
      <c r="Q12" s="544"/>
      <c r="R12" s="544"/>
      <c r="S12" s="544"/>
      <c r="T12" s="544"/>
      <c r="U12" s="544"/>
      <c r="V12" s="544"/>
      <c r="W12" s="544"/>
      <c r="X12" s="544"/>
      <c r="Y12" s="544"/>
      <c r="Z12" s="544"/>
      <c r="AA12" s="544"/>
      <c r="AB12" s="544"/>
      <c r="AC12" s="544"/>
    </row>
    <row r="13" spans="1:29" ht="28.5" customHeight="1" x14ac:dyDescent="0.3">
      <c r="A13" s="32" t="s">
        <v>191</v>
      </c>
      <c r="B13" s="33"/>
      <c r="C13" s="40">
        <f>IF(OR(C3="Célibataire",C3="Divorcé",C3="Veuf",C3="Concubinage"),'Calcul IR Bis Retraite'!I21, 'Calcul IR Bis Retraite'!I40)</f>
        <v>847.68</v>
      </c>
      <c r="D13" s="550" t="s">
        <v>227</v>
      </c>
      <c r="E13" s="550"/>
      <c r="F13" s="550"/>
      <c r="G13" s="550"/>
      <c r="H13" s="550"/>
      <c r="I13" s="550"/>
      <c r="J13" s="550"/>
      <c r="K13" s="550"/>
      <c r="L13" s="550"/>
      <c r="M13" s="550"/>
      <c r="N13" s="551"/>
      <c r="O13" s="545"/>
      <c r="P13" s="544"/>
      <c r="Q13" s="544"/>
      <c r="R13" s="544"/>
      <c r="S13" s="544"/>
      <c r="T13" s="544"/>
      <c r="U13" s="544"/>
      <c r="V13" s="544"/>
      <c r="W13" s="544"/>
      <c r="X13" s="544"/>
      <c r="Y13" s="544"/>
      <c r="Z13" s="544"/>
      <c r="AA13" s="544"/>
      <c r="AB13" s="544"/>
      <c r="AC13" s="544"/>
    </row>
    <row r="14" spans="1:29" ht="34.5" customHeight="1" x14ac:dyDescent="0.3">
      <c r="A14" s="34" t="s">
        <v>38</v>
      </c>
      <c r="B14" s="35"/>
      <c r="C14" s="36">
        <f>IF(OR(C3="Célibataire",C3="Divorcé",C3="Veuf",C3="Concubinage"),'Calcul IR Bis Retraite'!I22, 'Calcul IR Bis Retraite'!I41)</f>
        <v>0</v>
      </c>
      <c r="D14" s="126">
        <f>C14</f>
        <v>0</v>
      </c>
      <c r="N14" s="24"/>
      <c r="O14" s="545"/>
      <c r="P14" s="544"/>
      <c r="Q14" s="544"/>
      <c r="R14" s="544"/>
      <c r="S14" s="544"/>
      <c r="T14" s="544"/>
      <c r="U14" s="544"/>
      <c r="V14" s="544"/>
      <c r="W14" s="544"/>
      <c r="X14" s="544"/>
      <c r="Y14" s="544"/>
      <c r="Z14" s="544"/>
      <c r="AA14" s="544"/>
      <c r="AB14" s="544"/>
      <c r="AC14" s="544"/>
    </row>
    <row r="15" spans="1:29" x14ac:dyDescent="0.3">
      <c r="A15" s="552" t="s">
        <v>211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3"/>
      <c r="M15" s="553"/>
      <c r="N15" s="554"/>
      <c r="O15" s="545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544"/>
      <c r="AB15" s="544"/>
      <c r="AC15" s="544"/>
    </row>
    <row r="16" spans="1:29" x14ac:dyDescent="0.3">
      <c r="A16" s="20"/>
      <c r="N16" s="24"/>
      <c r="O16" s="545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</row>
    <row r="17" spans="1:29" hidden="1" x14ac:dyDescent="0.3">
      <c r="A17" s="20"/>
      <c r="N17" s="24"/>
      <c r="O17" s="545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</row>
    <row r="18" spans="1:29" ht="15" hidden="1" customHeight="1" x14ac:dyDescent="0.3">
      <c r="A18" s="20"/>
      <c r="N18" s="24"/>
      <c r="O18" s="545"/>
      <c r="P18" s="544"/>
      <c r="Q18" s="544"/>
      <c r="R18" s="544"/>
      <c r="S18" s="544"/>
      <c r="T18" s="544"/>
      <c r="U18" s="544"/>
      <c r="V18" s="544"/>
      <c r="W18" s="544"/>
      <c r="X18" s="544"/>
      <c r="Y18" s="544"/>
      <c r="Z18" s="544"/>
      <c r="AA18" s="544"/>
      <c r="AB18" s="544"/>
      <c r="AC18" s="544"/>
    </row>
    <row r="19" spans="1:29" ht="15" thickBot="1" x14ac:dyDescent="0.3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545"/>
      <c r="P19" s="544"/>
      <c r="Q19" s="544"/>
      <c r="R19" s="544"/>
      <c r="S19" s="544"/>
      <c r="T19" s="544"/>
      <c r="U19" s="544"/>
      <c r="V19" s="544"/>
      <c r="W19" s="544"/>
      <c r="X19" s="544"/>
      <c r="Y19" s="544"/>
      <c r="Z19" s="544"/>
      <c r="AA19" s="544"/>
      <c r="AB19" s="544"/>
      <c r="AC19" s="544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118" zoomScaleNormal="85" workbookViewId="0">
      <selection activeCell="M6" sqref="M6"/>
    </sheetView>
  </sheetViews>
  <sheetFormatPr baseColWidth="10" defaultColWidth="11" defaultRowHeight="15.6" x14ac:dyDescent="0.3"/>
  <cols>
    <col min="1" max="1" width="4.5" customWidth="1"/>
  </cols>
  <sheetData>
    <row r="2" spans="2:14" ht="1.35" customHeight="1" x14ac:dyDescent="0.3"/>
    <row r="4" spans="2:14" ht="29.1" customHeight="1" x14ac:dyDescent="0.3">
      <c r="B4" s="333" t="s">
        <v>0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 t="s">
        <v>1</v>
      </c>
      <c r="N4" s="334"/>
    </row>
    <row r="5" spans="2:14" ht="16.350000000000001" customHeight="1" x14ac:dyDescent="0.3"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4"/>
      <c r="N5" s="334"/>
    </row>
    <row r="6" spans="2:14" x14ac:dyDescent="0.3">
      <c r="M6" s="13"/>
    </row>
    <row r="7" spans="2:14" ht="21" x14ac:dyDescent="0.4">
      <c r="E7" s="332"/>
      <c r="F7" s="332"/>
      <c r="G7" s="332"/>
      <c r="H7" s="332"/>
      <c r="I7" s="332"/>
      <c r="J7" s="332"/>
      <c r="K7" s="332"/>
    </row>
    <row r="8" spans="2:14" x14ac:dyDescent="0.3">
      <c r="B8" s="335" t="s">
        <v>2</v>
      </c>
      <c r="C8" s="335"/>
      <c r="D8" s="335"/>
      <c r="E8" s="335"/>
      <c r="F8" s="335"/>
      <c r="G8" s="335"/>
      <c r="H8" s="335"/>
      <c r="I8" s="335"/>
      <c r="J8" s="335"/>
      <c r="K8" s="335"/>
      <c r="L8" s="335"/>
    </row>
    <row r="9" spans="2:14" x14ac:dyDescent="0.3"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</row>
  </sheetData>
  <mergeCells count="4">
    <mergeCell ref="E7:K7"/>
    <mergeCell ref="B4:L5"/>
    <mergeCell ref="M4:N5"/>
    <mergeCell ref="B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4"/>
  <sheetViews>
    <sheetView showGridLines="0" tabSelected="1" topLeftCell="A3" zoomScale="120" zoomScaleNormal="120" workbookViewId="0">
      <selection activeCell="I8" sqref="I8"/>
    </sheetView>
  </sheetViews>
  <sheetFormatPr baseColWidth="10" defaultColWidth="11" defaultRowHeight="13.8" x14ac:dyDescent="0.25"/>
  <cols>
    <col min="1" max="1" width="2.59765625" style="178" customWidth="1"/>
    <col min="2" max="2" width="22.8984375" style="178" customWidth="1"/>
    <col min="3" max="3" width="9" style="178" customWidth="1"/>
    <col min="4" max="4" width="29.09765625" style="178" customWidth="1"/>
    <col min="5" max="5" width="8.3984375" style="178" customWidth="1"/>
    <col min="6" max="6" width="21.59765625" style="178" customWidth="1"/>
    <col min="7" max="7" width="16.09765625" style="178" customWidth="1"/>
    <col min="8" max="8" width="16.8984375" style="178" customWidth="1"/>
    <col min="9" max="9" width="11" style="178"/>
    <col min="10" max="10" width="0" style="178" hidden="1" customWidth="1"/>
    <col min="11" max="16384" width="11" style="178"/>
  </cols>
  <sheetData>
    <row r="1" spans="2:10" ht="3" customHeight="1" thickBot="1" x14ac:dyDescent="0.3"/>
    <row r="2" spans="2:10" ht="20.100000000000001" customHeight="1" x14ac:dyDescent="0.25">
      <c r="B2" s="342" t="s">
        <v>3</v>
      </c>
      <c r="C2" s="343"/>
      <c r="D2" s="343"/>
      <c r="E2" s="343"/>
      <c r="F2" s="343"/>
      <c r="G2" s="343"/>
      <c r="H2" s="344"/>
    </row>
    <row r="3" spans="2:10" ht="20.100000000000001" customHeight="1" thickBot="1" x14ac:dyDescent="0.3">
      <c r="B3" s="345"/>
      <c r="C3" s="346"/>
      <c r="D3" s="346"/>
      <c r="E3" s="346"/>
      <c r="F3" s="346"/>
      <c r="G3" s="346"/>
      <c r="H3" s="347"/>
    </row>
    <row r="4" spans="2:10" ht="3.6" customHeight="1" thickBot="1" x14ac:dyDescent="0.3"/>
    <row r="5" spans="2:10" ht="14.4" thickBot="1" x14ac:dyDescent="0.3">
      <c r="F5" s="355" t="s">
        <v>4</v>
      </c>
      <c r="G5" s="356"/>
      <c r="H5" s="356"/>
    </row>
    <row r="6" spans="2:10" ht="5.0999999999999996" customHeight="1" thickBot="1" x14ac:dyDescent="0.3">
      <c r="F6" s="179"/>
      <c r="G6" s="179"/>
      <c r="H6" s="179"/>
    </row>
    <row r="7" spans="2:10" ht="14.4" thickBot="1" x14ac:dyDescent="0.3">
      <c r="B7" s="180" t="s">
        <v>5</v>
      </c>
      <c r="C7" s="350" t="s">
        <v>2</v>
      </c>
      <c r="D7" s="350"/>
      <c r="E7" s="351"/>
      <c r="F7" s="181" t="s">
        <v>6</v>
      </c>
      <c r="G7" s="182" t="s">
        <v>7</v>
      </c>
      <c r="H7" s="183" t="s">
        <v>8</v>
      </c>
      <c r="J7" s="178" t="s">
        <v>9</v>
      </c>
    </row>
    <row r="8" spans="2:10" x14ac:dyDescent="0.25">
      <c r="B8" s="184" t="s">
        <v>10</v>
      </c>
      <c r="C8" s="357">
        <v>24995</v>
      </c>
      <c r="D8" s="348"/>
      <c r="E8" s="349"/>
      <c r="F8" s="185" t="s">
        <v>11</v>
      </c>
      <c r="G8" s="186">
        <v>68000</v>
      </c>
      <c r="H8" s="187">
        <f>G8*0.77</f>
        <v>52360</v>
      </c>
      <c r="J8" s="178" t="s">
        <v>12</v>
      </c>
    </row>
    <row r="9" spans="2:10" x14ac:dyDescent="0.25">
      <c r="B9" s="184" t="s">
        <v>13</v>
      </c>
      <c r="C9" s="348" t="s">
        <v>14</v>
      </c>
      <c r="D9" s="348"/>
      <c r="E9" s="349"/>
      <c r="F9" s="188" t="s">
        <v>15</v>
      </c>
      <c r="G9" s="189"/>
      <c r="H9" s="190">
        <f>IF(ISNUMBER(G9),G9*0.7,0)</f>
        <v>0</v>
      </c>
    </row>
    <row r="10" spans="2:10" ht="14.4" thickBot="1" x14ac:dyDescent="0.3">
      <c r="B10" s="191" t="s">
        <v>16</v>
      </c>
      <c r="C10" s="336" t="s">
        <v>17</v>
      </c>
      <c r="D10" s="336"/>
      <c r="E10" s="337"/>
      <c r="F10" s="192" t="s">
        <v>18</v>
      </c>
      <c r="G10" s="193"/>
      <c r="H10" s="194"/>
    </row>
    <row r="11" spans="2:10" ht="7.35" customHeight="1" thickBot="1" x14ac:dyDescent="0.3"/>
    <row r="12" spans="2:10" ht="14.4" thickBot="1" x14ac:dyDescent="0.3">
      <c r="B12" s="180" t="s">
        <v>19</v>
      </c>
      <c r="C12" s="350"/>
      <c r="D12" s="350"/>
      <c r="E12" s="351"/>
      <c r="F12" s="195" t="s">
        <v>6</v>
      </c>
      <c r="G12" s="196" t="s">
        <v>7</v>
      </c>
      <c r="H12" s="197" t="s">
        <v>8</v>
      </c>
    </row>
    <row r="13" spans="2:10" x14ac:dyDescent="0.25">
      <c r="B13" s="184" t="s">
        <v>10</v>
      </c>
      <c r="C13" s="357"/>
      <c r="D13" s="348"/>
      <c r="E13" s="349"/>
      <c r="F13" s="198" t="s">
        <v>11</v>
      </c>
      <c r="G13" s="199"/>
      <c r="H13" s="200">
        <f>G13*0.77</f>
        <v>0</v>
      </c>
    </row>
    <row r="14" spans="2:10" x14ac:dyDescent="0.25">
      <c r="B14" s="184" t="s">
        <v>13</v>
      </c>
      <c r="C14" s="348"/>
      <c r="D14" s="348"/>
      <c r="E14" s="349"/>
      <c r="F14" s="188" t="s">
        <v>15</v>
      </c>
      <c r="G14" s="189"/>
      <c r="H14" s="190">
        <f>IF(ISNUMBER(G14),G14*0.7,0)</f>
        <v>0</v>
      </c>
    </row>
    <row r="15" spans="2:10" ht="14.4" thickBot="1" x14ac:dyDescent="0.3">
      <c r="B15" s="191" t="s">
        <v>16</v>
      </c>
      <c r="C15" s="336"/>
      <c r="D15" s="336"/>
      <c r="E15" s="337"/>
      <c r="F15" s="192" t="s">
        <v>18</v>
      </c>
      <c r="G15" s="193"/>
      <c r="H15" s="194"/>
    </row>
    <row r="16" spans="2:10" ht="5.0999999999999996" customHeight="1" thickBot="1" x14ac:dyDescent="0.3"/>
    <row r="17" spans="2:11" ht="14.4" thickBot="1" x14ac:dyDescent="0.3">
      <c r="B17" s="180" t="s">
        <v>20</v>
      </c>
      <c r="C17" s="350" t="s">
        <v>231</v>
      </c>
      <c r="D17" s="350"/>
      <c r="E17" s="351"/>
      <c r="F17" s="181" t="s">
        <v>22</v>
      </c>
      <c r="G17" s="182" t="s">
        <v>23</v>
      </c>
      <c r="H17" s="183" t="s">
        <v>24</v>
      </c>
    </row>
    <row r="18" spans="2:11" x14ac:dyDescent="0.25">
      <c r="B18" s="184" t="s">
        <v>25</v>
      </c>
      <c r="C18" s="348"/>
      <c r="D18" s="348"/>
      <c r="E18" s="349"/>
      <c r="F18" s="201" t="s">
        <v>9</v>
      </c>
      <c r="G18" s="202"/>
      <c r="H18" s="203"/>
    </row>
    <row r="19" spans="2:11" ht="16.350000000000001" customHeight="1" thickBot="1" x14ac:dyDescent="0.3">
      <c r="B19" s="184" t="s">
        <v>27</v>
      </c>
      <c r="C19" s="348"/>
      <c r="D19" s="348"/>
      <c r="E19" s="349"/>
      <c r="F19" s="192" t="s">
        <v>28</v>
      </c>
      <c r="G19" s="204"/>
      <c r="H19" s="205">
        <f>G19*0.8</f>
        <v>0</v>
      </c>
    </row>
    <row r="20" spans="2:11" ht="17.399999999999999" customHeight="1" thickBot="1" x14ac:dyDescent="0.3">
      <c r="B20" s="191" t="s">
        <v>29</v>
      </c>
      <c r="C20" s="358"/>
      <c r="D20" s="358"/>
      <c r="E20" s="359"/>
      <c r="F20" s="338" t="s">
        <v>30</v>
      </c>
      <c r="G20" s="339"/>
      <c r="H20" s="206">
        <f>SUM(H8:H10)+SUM(H13:H15)+SUM(H18:H19)</f>
        <v>52360</v>
      </c>
    </row>
    <row r="21" spans="2:11" ht="12" customHeight="1" thickBot="1" x14ac:dyDescent="0.3">
      <c r="B21" s="207"/>
      <c r="C21" s="208"/>
      <c r="D21" s="208"/>
      <c r="E21" s="209"/>
      <c r="F21" s="210"/>
      <c r="G21" s="210"/>
      <c r="H21" s="211"/>
    </row>
    <row r="22" spans="2:11" ht="14.4" thickBot="1" x14ac:dyDescent="0.3">
      <c r="B22" s="352" t="s">
        <v>31</v>
      </c>
      <c r="C22" s="353"/>
      <c r="D22" s="354"/>
      <c r="F22" s="352" t="s">
        <v>32</v>
      </c>
      <c r="G22" s="353"/>
      <c r="H22" s="353"/>
    </row>
    <row r="23" spans="2:11" ht="5.0999999999999996" customHeight="1" thickBot="1" x14ac:dyDescent="0.3"/>
    <row r="24" spans="2:11" ht="14.4" thickBot="1" x14ac:dyDescent="0.3">
      <c r="B24" s="181" t="s">
        <v>33</v>
      </c>
      <c r="C24" s="182" t="s">
        <v>34</v>
      </c>
      <c r="D24" s="183" t="s">
        <v>35</v>
      </c>
      <c r="F24" s="212" t="s">
        <v>36</v>
      </c>
      <c r="G24" s="187">
        <f>'Impôt 2021 revenus 2020'!C8</f>
        <v>47124</v>
      </c>
      <c r="H24" s="213" t="s">
        <v>37</v>
      </c>
    </row>
    <row r="25" spans="2:11" ht="14.4" thickBot="1" x14ac:dyDescent="0.3">
      <c r="B25" s="214"/>
      <c r="C25" s="215"/>
      <c r="D25" s="216"/>
      <c r="F25" s="217" t="s">
        <v>38</v>
      </c>
      <c r="G25" s="190">
        <f>'Impôt 2021 revenus 2020'!D14</f>
        <v>8154.84</v>
      </c>
      <c r="H25" s="218">
        <f>IF(AND(C17="Marié-Pacsé",'Calcul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2'!D34,0%)))),IF(AND(OR(C17="Célibataire",C17="Divorcé",C17="Veuf",C17="Concubinage"),'Calcul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26" spans="2:11" x14ac:dyDescent="0.25">
      <c r="B26" s="219"/>
      <c r="C26" s="220"/>
      <c r="D26" s="221"/>
      <c r="F26" s="217" t="s">
        <v>39</v>
      </c>
      <c r="G26" s="190">
        <f>H18*0.172</f>
        <v>0</v>
      </c>
      <c r="H26" s="222"/>
    </row>
    <row r="27" spans="2:11" x14ac:dyDescent="0.25">
      <c r="B27" s="219"/>
      <c r="C27" s="220"/>
      <c r="D27" s="223"/>
      <c r="F27" s="217" t="s">
        <v>40</v>
      </c>
      <c r="G27" s="224">
        <v>0</v>
      </c>
      <c r="H27" s="222"/>
    </row>
    <row r="28" spans="2:11" ht="14.4" thickBot="1" x14ac:dyDescent="0.3">
      <c r="B28" s="225"/>
      <c r="C28" s="226"/>
      <c r="D28" s="227"/>
      <c r="F28" s="217" t="s">
        <v>41</v>
      </c>
      <c r="G28" s="228"/>
      <c r="H28" s="222"/>
    </row>
    <row r="29" spans="2:11" ht="14.4" thickBot="1" x14ac:dyDescent="0.3">
      <c r="B29" s="229" t="s">
        <v>42</v>
      </c>
      <c r="C29" s="230">
        <v>0</v>
      </c>
      <c r="D29" s="231"/>
      <c r="F29" s="232" t="s">
        <v>43</v>
      </c>
      <c r="G29" s="233">
        <v>0</v>
      </c>
    </row>
    <row r="30" spans="2:11" ht="9.6" customHeight="1" thickBot="1" x14ac:dyDescent="0.3">
      <c r="B30" s="231"/>
      <c r="C30" s="234"/>
      <c r="D30" s="231"/>
      <c r="F30" s="235"/>
      <c r="G30" s="236"/>
    </row>
    <row r="31" spans="2:11" ht="12.6" customHeight="1" thickBot="1" x14ac:dyDescent="0.35">
      <c r="B31" s="340" t="s">
        <v>44</v>
      </c>
      <c r="C31" s="341"/>
      <c r="D31" s="341"/>
      <c r="E31" s="341"/>
      <c r="F31" s="341"/>
      <c r="G31" s="341"/>
      <c r="H31" s="341"/>
      <c r="I31" s="237"/>
      <c r="J31" s="237"/>
      <c r="K31" s="237"/>
    </row>
    <row r="35" spans="2:7" hidden="1" x14ac:dyDescent="0.25">
      <c r="B35" s="178">
        <v>0</v>
      </c>
      <c r="C35" s="178" t="s">
        <v>45</v>
      </c>
    </row>
    <row r="36" spans="2:7" ht="15.6" hidden="1" customHeight="1" x14ac:dyDescent="0.25">
      <c r="B36" s="178">
        <v>1</v>
      </c>
      <c r="C36" s="178" t="s">
        <v>46</v>
      </c>
      <c r="D36" s="178" t="s">
        <v>47</v>
      </c>
      <c r="G36" s="178" t="s">
        <v>48</v>
      </c>
    </row>
    <row r="37" spans="2:7" ht="15.6" hidden="1" customHeight="1" x14ac:dyDescent="0.25">
      <c r="B37" s="178">
        <v>2</v>
      </c>
      <c r="D37" s="178" t="s">
        <v>49</v>
      </c>
      <c r="G37" s="178" t="s">
        <v>50</v>
      </c>
    </row>
    <row r="38" spans="2:7" ht="15.6" hidden="1" customHeight="1" x14ac:dyDescent="0.25">
      <c r="B38" s="178">
        <v>3</v>
      </c>
      <c r="D38" s="178" t="s">
        <v>51</v>
      </c>
    </row>
    <row r="39" spans="2:7" ht="15.6" hidden="1" customHeight="1" x14ac:dyDescent="0.25">
      <c r="B39" s="178">
        <v>4</v>
      </c>
      <c r="D39" s="178" t="s">
        <v>52</v>
      </c>
    </row>
    <row r="40" spans="2:7" ht="15.6" hidden="1" customHeight="1" x14ac:dyDescent="0.25">
      <c r="B40" s="178">
        <v>5</v>
      </c>
      <c r="D40" s="178" t="s">
        <v>53</v>
      </c>
    </row>
    <row r="41" spans="2:7" ht="15.6" hidden="1" customHeight="1" x14ac:dyDescent="0.25">
      <c r="B41" s="178">
        <v>6</v>
      </c>
      <c r="D41" s="178" t="s">
        <v>54</v>
      </c>
    </row>
    <row r="42" spans="2:7" ht="15.6" hidden="1" customHeight="1" x14ac:dyDescent="0.25">
      <c r="B42" s="178">
        <v>7</v>
      </c>
      <c r="D42" s="178" t="s">
        <v>26</v>
      </c>
    </row>
    <row r="43" spans="2:7" ht="15.6" hidden="1" customHeight="1" x14ac:dyDescent="0.25">
      <c r="B43" s="178">
        <v>8</v>
      </c>
    </row>
    <row r="44" spans="2:7" ht="15.6" hidden="1" customHeight="1" x14ac:dyDescent="0.25">
      <c r="B44" s="178">
        <v>9</v>
      </c>
    </row>
    <row r="45" spans="2:7" ht="15.6" hidden="1" customHeight="1" x14ac:dyDescent="0.25">
      <c r="B45" s="178">
        <v>10</v>
      </c>
    </row>
    <row r="46" spans="2:7" ht="15.6" customHeight="1" x14ac:dyDescent="0.25"/>
    <row r="47" spans="2:7" ht="15.6" customHeight="1" x14ac:dyDescent="0.25"/>
    <row r="48" spans="2:7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18">
    <mergeCell ref="C10:E10"/>
    <mergeCell ref="C19:E19"/>
    <mergeCell ref="C15:E15"/>
    <mergeCell ref="F20:G20"/>
    <mergeCell ref="B31:H31"/>
    <mergeCell ref="B2:H3"/>
    <mergeCell ref="C14:E14"/>
    <mergeCell ref="C17:E17"/>
    <mergeCell ref="C18:E18"/>
    <mergeCell ref="F22:H22"/>
    <mergeCell ref="B22:D22"/>
    <mergeCell ref="F5:H5"/>
    <mergeCell ref="C7:E7"/>
    <mergeCell ref="C8:E8"/>
    <mergeCell ref="C9:E9"/>
    <mergeCell ref="C12:E12"/>
    <mergeCell ref="C13:E13"/>
    <mergeCell ref="C20:E20"/>
  </mergeCells>
  <dataValidations count="5">
    <dataValidation type="list" allowBlank="1" showInputMessage="1" showErrorMessage="1" sqref="C18:E18" xr:uid="{F47CBD30-AC04-4E07-BC58-9C727FCBA355}">
      <formula1>$D$36:$D$43</formula1>
    </dataValidation>
    <dataValidation type="list" allowBlank="1" showInputMessage="1" showErrorMessage="1" promptTitle="Communauté" sqref="C17:E17" xr:uid="{4D4787BC-6A97-47E6-B9D6-7346B30B07E8}">
      <formula1>"Célibataire,Concubinage,Divorcé,Veuf,Marié-Pacsé"</formula1>
    </dataValidation>
    <dataValidation type="list" allowBlank="1" showInputMessage="1" showErrorMessage="1" sqref="F18" xr:uid="{B5A9C45F-3029-4ACA-B2A9-2A7A8780628B}">
      <formula1>$J$7:$J$8</formula1>
    </dataValidation>
    <dataValidation type="list" allowBlank="1" showInputMessage="1" showErrorMessage="1" sqref="D20:E20 C20:C21" xr:uid="{F91AA10A-2D56-43B5-87E1-EE890EFFD3DC}">
      <formula1>$C$35:$C$37</formula1>
    </dataValidation>
    <dataValidation type="list" allowBlank="1" showInputMessage="1" showErrorMessage="1" sqref="C29" xr:uid="{B62B7896-C42E-47FE-A026-CE9114D87D9C}">
      <formula1>$B$33:$B$43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59"/>
  <sheetViews>
    <sheetView showGridLines="0" topLeftCell="A23" zoomScale="125" zoomScaleNormal="130" workbookViewId="0">
      <selection activeCell="G38" sqref="G38"/>
    </sheetView>
  </sheetViews>
  <sheetFormatPr baseColWidth="10" defaultColWidth="11" defaultRowHeight="13.8" x14ac:dyDescent="0.25"/>
  <cols>
    <col min="1" max="1" width="6.09765625" style="178" customWidth="1"/>
    <col min="2" max="2" width="18.59765625" style="239" customWidth="1"/>
    <col min="3" max="3" width="15.59765625" style="178" customWidth="1"/>
    <col min="4" max="4" width="15" style="178" bestFit="1" customWidth="1"/>
    <col min="5" max="5" width="14.59765625" style="178" bestFit="1" customWidth="1"/>
    <col min="6" max="6" width="12.59765625" style="178" customWidth="1"/>
    <col min="7" max="7" width="12.09765625" style="178" customWidth="1"/>
    <col min="8" max="8" width="13.5" style="178" customWidth="1"/>
    <col min="9" max="9" width="16.3984375" style="178" customWidth="1"/>
    <col min="10" max="16384" width="11" style="178"/>
  </cols>
  <sheetData>
    <row r="1" spans="2:10" ht="3" customHeight="1" thickBot="1" x14ac:dyDescent="0.3"/>
    <row r="2" spans="2:10" ht="20.100000000000001" customHeight="1" x14ac:dyDescent="0.25">
      <c r="B2" s="342" t="s">
        <v>55</v>
      </c>
      <c r="C2" s="343"/>
      <c r="D2" s="343"/>
      <c r="E2" s="343"/>
      <c r="F2" s="343"/>
      <c r="G2" s="343"/>
      <c r="H2" s="343"/>
      <c r="I2" s="361"/>
    </row>
    <row r="3" spans="2:10" ht="20.100000000000001" customHeight="1" thickBot="1" x14ac:dyDescent="0.3">
      <c r="B3" s="345"/>
      <c r="C3" s="346"/>
      <c r="D3" s="346"/>
      <c r="E3" s="346"/>
      <c r="F3" s="346"/>
      <c r="G3" s="346"/>
      <c r="H3" s="346"/>
      <c r="I3" s="362"/>
    </row>
    <row r="4" spans="2:10" ht="4.3499999999999996" customHeight="1" thickBot="1" x14ac:dyDescent="0.3"/>
    <row r="5" spans="2:10" ht="14.4" thickBot="1" x14ac:dyDescent="0.3">
      <c r="B5" s="355" t="s">
        <v>56</v>
      </c>
      <c r="C5" s="356"/>
      <c r="D5" s="356"/>
      <c r="E5" s="356"/>
      <c r="F5" s="356"/>
      <c r="G5" s="356"/>
      <c r="H5" s="356"/>
      <c r="I5" s="356"/>
    </row>
    <row r="6" spans="2:10" ht="3" customHeight="1" thickBot="1" x14ac:dyDescent="0.3"/>
    <row r="7" spans="2:10" ht="17.100000000000001" customHeight="1" thickBot="1" x14ac:dyDescent="0.3">
      <c r="B7" s="383" t="s">
        <v>57</v>
      </c>
      <c r="C7" s="384"/>
      <c r="D7" s="300" t="s">
        <v>58</v>
      </c>
      <c r="E7" s="301" t="s">
        <v>59</v>
      </c>
      <c r="F7" s="301" t="s">
        <v>60</v>
      </c>
      <c r="G7" s="301" t="s">
        <v>61</v>
      </c>
      <c r="H7" s="373" t="s">
        <v>62</v>
      </c>
      <c r="I7" s="374"/>
    </row>
    <row r="8" spans="2:10" ht="17.100000000000001" customHeight="1" thickBot="1" x14ac:dyDescent="0.3">
      <c r="B8" s="385"/>
      <c r="C8" s="386"/>
      <c r="D8" s="297" t="s">
        <v>63</v>
      </c>
      <c r="E8" s="298">
        <v>187000</v>
      </c>
      <c r="F8" s="298">
        <v>147000</v>
      </c>
      <c r="G8" s="299"/>
      <c r="H8" s="389">
        <v>1100</v>
      </c>
      <c r="I8" s="390"/>
      <c r="J8" s="178" t="s">
        <v>228</v>
      </c>
    </row>
    <row r="9" spans="2:10" ht="3" customHeight="1" thickBot="1" x14ac:dyDescent="0.3">
      <c r="B9" s="240"/>
      <c r="C9" s="241"/>
      <c r="D9" s="242"/>
      <c r="E9" s="243"/>
      <c r="F9" s="243"/>
      <c r="G9" s="244"/>
      <c r="H9" s="245"/>
      <c r="I9" s="245"/>
    </row>
    <row r="10" spans="2:10" ht="17.100000000000001" customHeight="1" thickBot="1" x14ac:dyDescent="0.3">
      <c r="B10" s="387" t="s">
        <v>64</v>
      </c>
      <c r="C10" s="388"/>
      <c r="D10" s="388"/>
      <c r="E10" s="388"/>
      <c r="F10" s="388"/>
      <c r="G10" s="388"/>
      <c r="H10" s="388"/>
      <c r="I10" s="388"/>
    </row>
    <row r="11" spans="2:10" ht="14.4" thickBot="1" x14ac:dyDescent="0.3">
      <c r="B11" s="300" t="s">
        <v>65</v>
      </c>
      <c r="C11" s="301" t="s">
        <v>66</v>
      </c>
      <c r="D11" s="301" t="s">
        <v>67</v>
      </c>
      <c r="E11" s="301" t="s">
        <v>60</v>
      </c>
      <c r="F11" s="301" t="s">
        <v>61</v>
      </c>
      <c r="G11" s="301" t="s">
        <v>68</v>
      </c>
      <c r="H11" s="301" t="s">
        <v>69</v>
      </c>
      <c r="I11" s="302" t="s">
        <v>70</v>
      </c>
    </row>
    <row r="12" spans="2:10" x14ac:dyDescent="0.25">
      <c r="B12" s="246"/>
      <c r="C12" s="247"/>
      <c r="D12" s="247"/>
      <c r="E12" s="247"/>
      <c r="F12" s="248"/>
      <c r="G12" s="249"/>
      <c r="H12" s="249"/>
      <c r="I12" s="250" t="str">
        <f>IF(ISBLANK(B12),"",IF(ISBLANK(H12),"NC",(H12*12)/D12))</f>
        <v/>
      </c>
    </row>
    <row r="13" spans="2:10" x14ac:dyDescent="0.25">
      <c r="B13" s="251"/>
      <c r="C13" s="252"/>
      <c r="D13" s="252"/>
      <c r="E13" s="252"/>
      <c r="F13" s="253"/>
      <c r="G13" s="254"/>
      <c r="H13" s="255"/>
      <c r="I13" s="256" t="str">
        <f t="shared" ref="I13" si="0">IF(ISBLANK(B13),"",IF(ISBLANK(H13),"NC",(H13*12)/D13))</f>
        <v/>
      </c>
    </row>
    <row r="14" spans="2:10" ht="14.4" thickBot="1" x14ac:dyDescent="0.3">
      <c r="B14" s="257"/>
      <c r="C14" s="258"/>
      <c r="D14" s="258"/>
      <c r="E14" s="258"/>
      <c r="F14" s="259"/>
      <c r="G14" s="260"/>
      <c r="H14" s="260"/>
      <c r="I14" s="261" t="str">
        <f>IF(ISBLANK(B14),"",IF(ISBLANK(H14),"NC",(H14*12)/D14))</f>
        <v/>
      </c>
    </row>
    <row r="15" spans="2:10" ht="2.4" customHeight="1" x14ac:dyDescent="0.25"/>
    <row r="16" spans="2:10" ht="16.350000000000001" customHeight="1" x14ac:dyDescent="0.25">
      <c r="B16" s="360" t="s">
        <v>71</v>
      </c>
      <c r="C16" s="360"/>
      <c r="D16" s="360"/>
      <c r="E16" s="360"/>
      <c r="F16" s="360"/>
      <c r="G16" s="360"/>
      <c r="H16" s="360"/>
      <c r="I16" s="360"/>
    </row>
    <row r="17" spans="2:10" ht="2.4" customHeight="1" thickBot="1" x14ac:dyDescent="0.3"/>
    <row r="18" spans="2:10" ht="16.350000000000001" customHeight="1" thickBot="1" x14ac:dyDescent="0.3">
      <c r="B18" s="363" t="s">
        <v>72</v>
      </c>
      <c r="C18" s="364"/>
      <c r="D18" s="301" t="s">
        <v>73</v>
      </c>
      <c r="E18" s="301" t="s">
        <v>61</v>
      </c>
      <c r="F18" s="301" t="s">
        <v>74</v>
      </c>
      <c r="G18" s="301" t="s">
        <v>68</v>
      </c>
      <c r="H18" s="373" t="s">
        <v>35</v>
      </c>
      <c r="I18" s="374"/>
    </row>
    <row r="19" spans="2:10" ht="16.350000000000001" customHeight="1" x14ac:dyDescent="0.25">
      <c r="B19" s="371" t="s">
        <v>75</v>
      </c>
      <c r="C19" s="372"/>
      <c r="D19" s="247">
        <v>10000</v>
      </c>
      <c r="E19" s="311" t="s">
        <v>76</v>
      </c>
      <c r="F19" s="248"/>
      <c r="G19" s="249">
        <v>65</v>
      </c>
      <c r="H19" s="381"/>
      <c r="I19" s="382"/>
    </row>
    <row r="20" spans="2:10" ht="16.350000000000001" customHeight="1" x14ac:dyDescent="0.25">
      <c r="B20" s="375"/>
      <c r="C20" s="376"/>
      <c r="D20" s="262"/>
      <c r="E20" s="263"/>
      <c r="F20" s="264"/>
      <c r="G20" s="265"/>
      <c r="H20" s="379"/>
      <c r="I20" s="380"/>
    </row>
    <row r="21" spans="2:10" ht="16.350000000000001" customHeight="1" thickBot="1" x14ac:dyDescent="0.3">
      <c r="B21" s="369"/>
      <c r="C21" s="370"/>
      <c r="D21" s="258"/>
      <c r="E21" s="266"/>
      <c r="F21" s="259"/>
      <c r="G21" s="260"/>
      <c r="H21" s="377"/>
      <c r="I21" s="378"/>
    </row>
    <row r="22" spans="2:10" ht="5.0999999999999996" customHeight="1" x14ac:dyDescent="0.25">
      <c r="B22" s="178"/>
    </row>
    <row r="23" spans="2:10" x14ac:dyDescent="0.25">
      <c r="B23" s="360" t="s">
        <v>77</v>
      </c>
      <c r="C23" s="360"/>
      <c r="D23" s="360"/>
      <c r="E23" s="360"/>
      <c r="F23" s="360"/>
      <c r="G23" s="360"/>
      <c r="H23" s="360"/>
      <c r="I23" s="360"/>
    </row>
    <row r="24" spans="2:10" ht="6" customHeight="1" thickBot="1" x14ac:dyDescent="0.3"/>
    <row r="25" spans="2:10" ht="17.100000000000001" customHeight="1" thickBot="1" x14ac:dyDescent="0.3">
      <c r="B25" s="363" t="s">
        <v>78</v>
      </c>
      <c r="C25" s="364"/>
      <c r="D25" s="301" t="s">
        <v>79</v>
      </c>
      <c r="E25" s="301" t="s">
        <v>60</v>
      </c>
      <c r="F25" s="301" t="s">
        <v>61</v>
      </c>
      <c r="G25" s="301" t="s">
        <v>68</v>
      </c>
      <c r="H25" s="301" t="s">
        <v>69</v>
      </c>
      <c r="I25" s="302" t="s">
        <v>70</v>
      </c>
    </row>
    <row r="26" spans="2:10" ht="17.100000000000001" customHeight="1" x14ac:dyDescent="0.25">
      <c r="B26" s="367"/>
      <c r="C26" s="368"/>
      <c r="D26" s="267"/>
      <c r="E26" s="267"/>
      <c r="F26" s="268"/>
      <c r="G26" s="269"/>
      <c r="H26" s="270"/>
      <c r="I26" s="271" t="str">
        <f>IF(ISBLANK(B26),"",IF(ISBLANK(H26),"NC",(H26*12)/D26))</f>
        <v/>
      </c>
    </row>
    <row r="27" spans="2:10" ht="17.100000000000001" customHeight="1" thickBot="1" x14ac:dyDescent="0.3">
      <c r="B27" s="365"/>
      <c r="C27" s="366"/>
      <c r="D27" s="260"/>
      <c r="E27" s="260"/>
      <c r="F27" s="259"/>
      <c r="G27" s="258"/>
      <c r="H27" s="272"/>
      <c r="I27" s="273" t="str">
        <f t="shared" ref="I27" si="1">IF(ISBLANK(B27),"",IF(ISBLANK(H27),"NC",(H27*12)/D27))</f>
        <v/>
      </c>
    </row>
    <row r="28" spans="2:10" ht="4.3499999999999996" customHeight="1" x14ac:dyDescent="0.25"/>
    <row r="29" spans="2:10" ht="20.399999999999999" customHeight="1" x14ac:dyDescent="0.25">
      <c r="B29" s="360" t="s">
        <v>80</v>
      </c>
      <c r="C29" s="360"/>
      <c r="D29" s="303">
        <f>MAX(0,IF('Etat Civil'!H20=0,0,(SUM(H8,G12:G14,G19:G21))/(SUM(H12:H14)+(('Etat Civil'!H20-'Etat Civil'!H18-'Etat Civil'!H19)/12))))</f>
        <v>0.26699770817417878</v>
      </c>
      <c r="F29" s="360" t="str">
        <f>IF(AND(ISBLANK(B26),ISBLANK(B27)),"","TAUX D'ENDETTEMENT SI PROJET")</f>
        <v/>
      </c>
      <c r="G29" s="360"/>
      <c r="H29" s="360"/>
      <c r="I29" s="238" t="str">
        <f>IF(AND(ISBLANK(B26),ISBLANK(B27)),"",MAX(0,IF('Etat Civil'!H20=0,0,IF(OR(B26="Changement RP",B27="Changement RP"),(SUM(G12:G14,G19:G21,G26:G27))/((SUM(H12:H14,H26:H27))+(('Etat Civil'!H20-'Etat Civil'!H18-'Etat Civil'!H19)/12)),(SUM(G12:G14,G19:G21,G26:G27,H8))/((SUM(H12:H14,H26:H27))+(('Etat Civil'!H20-'Etat Civil'!H18-'Etat Civil'!H19)/12))))))</f>
        <v/>
      </c>
    </row>
    <row r="30" spans="2:10" ht="6" customHeight="1" thickBot="1" x14ac:dyDescent="0.3"/>
    <row r="31" spans="2:10" ht="20.100000000000001" customHeight="1" x14ac:dyDescent="0.25">
      <c r="B31" s="342" t="s">
        <v>81</v>
      </c>
      <c r="C31" s="343"/>
      <c r="D31" s="343"/>
      <c r="E31" s="343"/>
      <c r="F31" s="343"/>
      <c r="G31" s="343"/>
      <c r="H31" s="343"/>
      <c r="I31" s="361"/>
    </row>
    <row r="32" spans="2:10" ht="20.100000000000001" customHeight="1" thickBot="1" x14ac:dyDescent="0.3">
      <c r="B32" s="345"/>
      <c r="C32" s="346"/>
      <c r="D32" s="346"/>
      <c r="E32" s="346"/>
      <c r="F32" s="346"/>
      <c r="G32" s="346"/>
      <c r="H32" s="346"/>
      <c r="I32" s="362"/>
      <c r="J32" s="274"/>
    </row>
    <row r="33" spans="2:9" ht="3" customHeight="1" thickBot="1" x14ac:dyDescent="0.3">
      <c r="B33" s="178"/>
      <c r="C33" s="275"/>
      <c r="F33" s="275"/>
      <c r="G33" s="275"/>
      <c r="H33" s="276"/>
    </row>
    <row r="34" spans="2:9" ht="14.4" thickBot="1" x14ac:dyDescent="0.3">
      <c r="B34" s="300" t="s">
        <v>82</v>
      </c>
      <c r="C34" s="301" t="s">
        <v>59</v>
      </c>
      <c r="D34" s="301" t="s">
        <v>83</v>
      </c>
      <c r="E34" s="301" t="s">
        <v>84</v>
      </c>
      <c r="F34" s="301" t="s">
        <v>85</v>
      </c>
      <c r="G34" s="301" t="s">
        <v>86</v>
      </c>
      <c r="H34" s="301" t="s">
        <v>87</v>
      </c>
      <c r="I34" s="302" t="s">
        <v>88</v>
      </c>
    </row>
    <row r="35" spans="2:9" ht="14.4" thickBot="1" x14ac:dyDescent="0.3">
      <c r="B35" s="394" t="s">
        <v>89</v>
      </c>
      <c r="C35" s="395"/>
      <c r="D35" s="395"/>
      <c r="E35" s="395"/>
      <c r="F35" s="395"/>
      <c r="G35" s="395"/>
      <c r="H35" s="395"/>
      <c r="I35" s="396"/>
    </row>
    <row r="36" spans="2:9" x14ac:dyDescent="0.25">
      <c r="B36" s="305" t="s">
        <v>90</v>
      </c>
      <c r="C36" s="306">
        <v>21500</v>
      </c>
      <c r="D36" s="307">
        <v>0</v>
      </c>
      <c r="E36" s="308">
        <v>1</v>
      </c>
      <c r="F36" s="306">
        <v>0</v>
      </c>
      <c r="G36" s="309" t="s">
        <v>91</v>
      </c>
      <c r="H36" s="309" t="s">
        <v>92</v>
      </c>
      <c r="I36" s="310" t="s">
        <v>93</v>
      </c>
    </row>
    <row r="37" spans="2:9" x14ac:dyDescent="0.25">
      <c r="B37" s="305" t="s">
        <v>90</v>
      </c>
      <c r="C37" s="277">
        <v>4250</v>
      </c>
      <c r="D37" s="281">
        <v>0</v>
      </c>
      <c r="E37" s="220">
        <v>1</v>
      </c>
      <c r="F37" s="277">
        <v>0</v>
      </c>
      <c r="G37" s="282" t="s">
        <v>94</v>
      </c>
      <c r="H37" s="282" t="s">
        <v>92</v>
      </c>
      <c r="I37" s="310" t="s">
        <v>93</v>
      </c>
    </row>
    <row r="38" spans="2:9" x14ac:dyDescent="0.25">
      <c r="B38" s="251" t="s">
        <v>229</v>
      </c>
      <c r="C38" s="277">
        <v>9000</v>
      </c>
      <c r="D38" s="281"/>
      <c r="E38" s="220"/>
      <c r="F38" s="277"/>
      <c r="G38" s="282" t="s">
        <v>230</v>
      </c>
      <c r="H38" s="282"/>
      <c r="I38" s="283"/>
    </row>
    <row r="39" spans="2:9" ht="14.4" thickBot="1" x14ac:dyDescent="0.3">
      <c r="B39" s="257"/>
      <c r="C39" s="284"/>
      <c r="D39" s="285"/>
      <c r="E39" s="226"/>
      <c r="F39" s="284"/>
      <c r="G39" s="286"/>
      <c r="H39" s="286"/>
      <c r="I39" s="287"/>
    </row>
    <row r="40" spans="2:9" ht="14.4" thickBot="1" x14ac:dyDescent="0.3">
      <c r="B40" s="394" t="s">
        <v>95</v>
      </c>
      <c r="C40" s="395"/>
      <c r="D40" s="395"/>
      <c r="E40" s="395"/>
      <c r="F40" s="395"/>
      <c r="G40" s="395"/>
      <c r="H40" s="395"/>
      <c r="I40" s="396"/>
    </row>
    <row r="41" spans="2:9" x14ac:dyDescent="0.25">
      <c r="B41" s="246" t="s">
        <v>96</v>
      </c>
      <c r="C41" s="278">
        <v>160</v>
      </c>
      <c r="D41" s="288"/>
      <c r="E41" s="215"/>
      <c r="F41" s="278"/>
      <c r="G41" s="279"/>
      <c r="H41" s="279"/>
      <c r="I41" s="280"/>
    </row>
    <row r="42" spans="2:9" ht="14.4" thickBot="1" x14ac:dyDescent="0.3">
      <c r="B42" s="257"/>
      <c r="C42" s="284"/>
      <c r="D42" s="285"/>
      <c r="E42" s="226"/>
      <c r="F42" s="284"/>
      <c r="G42" s="286"/>
      <c r="H42" s="286"/>
      <c r="I42" s="287"/>
    </row>
    <row r="43" spans="2:9" ht="14.4" hidden="1" thickBot="1" x14ac:dyDescent="0.3">
      <c r="B43" s="394" t="s">
        <v>97</v>
      </c>
      <c r="C43" s="395"/>
      <c r="D43" s="395"/>
      <c r="E43" s="395"/>
      <c r="F43" s="395"/>
      <c r="G43" s="395"/>
      <c r="H43" s="395"/>
      <c r="I43" s="396"/>
    </row>
    <row r="44" spans="2:9" hidden="1" x14ac:dyDescent="0.25">
      <c r="B44" s="246"/>
      <c r="C44" s="278"/>
      <c r="D44" s="268"/>
      <c r="E44" s="215"/>
      <c r="F44" s="278"/>
      <c r="G44" s="279"/>
      <c r="H44" s="279"/>
      <c r="I44" s="280"/>
    </row>
    <row r="45" spans="2:9" hidden="1" x14ac:dyDescent="0.25">
      <c r="B45" s="251"/>
      <c r="C45" s="277"/>
      <c r="D45" s="253"/>
      <c r="E45" s="220"/>
      <c r="F45" s="277"/>
      <c r="G45" s="282"/>
      <c r="H45" s="282"/>
      <c r="I45" s="283"/>
    </row>
    <row r="46" spans="2:9" ht="14.4" hidden="1" thickBot="1" x14ac:dyDescent="0.3">
      <c r="B46" s="257"/>
      <c r="C46" s="284"/>
      <c r="D46" s="259"/>
      <c r="E46" s="226"/>
      <c r="F46" s="284"/>
      <c r="G46" s="286"/>
      <c r="H46" s="286"/>
      <c r="I46" s="287"/>
    </row>
    <row r="47" spans="2:9" ht="14.4" thickBot="1" x14ac:dyDescent="0.3">
      <c r="B47" s="383" t="s">
        <v>98</v>
      </c>
      <c r="C47" s="397"/>
      <c r="D47" s="304">
        <f>SUM(F36:F39,F41:F42,F44:F46)</f>
        <v>0</v>
      </c>
      <c r="F47" s="275"/>
      <c r="G47" s="275"/>
      <c r="H47" s="276"/>
    </row>
    <row r="48" spans="2:9" ht="14.4" thickBot="1" x14ac:dyDescent="0.3">
      <c r="B48" s="383" t="s">
        <v>99</v>
      </c>
      <c r="C48" s="397"/>
      <c r="D48" s="304">
        <f>SUM(C36:C39,C41:C42,C44:C46,E8,D12:D14)</f>
        <v>221910</v>
      </c>
      <c r="F48" s="275"/>
      <c r="G48" s="275"/>
      <c r="H48" s="276"/>
    </row>
    <row r="49" spans="2:10" ht="15" thickBot="1" x14ac:dyDescent="0.3">
      <c r="B49" s="398" t="s">
        <v>44</v>
      </c>
      <c r="C49" s="399"/>
      <c r="D49" s="399"/>
      <c r="E49" s="399"/>
      <c r="F49" s="399"/>
      <c r="G49" s="399"/>
      <c r="H49" s="399"/>
      <c r="I49" s="400"/>
    </row>
    <row r="50" spans="2:10" x14ac:dyDescent="0.25">
      <c r="B50" s="401"/>
      <c r="C50" s="401"/>
      <c r="D50" s="401"/>
      <c r="E50" s="401"/>
      <c r="F50" s="401"/>
      <c r="G50" s="401"/>
      <c r="H50" s="401"/>
      <c r="I50" s="289"/>
      <c r="J50" s="289"/>
    </row>
    <row r="51" spans="2:10" x14ac:dyDescent="0.25">
      <c r="B51" s="289"/>
      <c r="C51" s="290"/>
      <c r="D51" s="289"/>
      <c r="E51" s="289"/>
      <c r="F51" s="290"/>
      <c r="G51" s="290"/>
      <c r="H51" s="291"/>
      <c r="I51" s="289"/>
      <c r="J51" s="289"/>
    </row>
    <row r="52" spans="2:10" x14ac:dyDescent="0.25">
      <c r="B52" s="231"/>
      <c r="C52" s="292"/>
      <c r="D52" s="231"/>
      <c r="E52" s="231"/>
      <c r="F52" s="292"/>
      <c r="G52" s="293"/>
      <c r="H52" s="294"/>
      <c r="I52" s="289"/>
      <c r="J52" s="289"/>
    </row>
    <row r="53" spans="2:10" x14ac:dyDescent="0.25">
      <c r="B53" s="231"/>
      <c r="C53" s="292"/>
      <c r="D53" s="231"/>
      <c r="E53" s="231"/>
      <c r="F53" s="292"/>
      <c r="G53" s="293"/>
      <c r="H53" s="294"/>
      <c r="I53" s="289"/>
      <c r="J53" s="289"/>
    </row>
    <row r="54" spans="2:10" x14ac:dyDescent="0.25">
      <c r="B54" s="231"/>
      <c r="C54" s="292"/>
      <c r="D54" s="231"/>
      <c r="E54" s="231"/>
      <c r="F54" s="292"/>
      <c r="G54" s="293"/>
      <c r="H54" s="294"/>
      <c r="I54" s="295"/>
      <c r="J54" s="289"/>
    </row>
    <row r="55" spans="2:10" x14ac:dyDescent="0.25">
      <c r="B55" s="391"/>
      <c r="C55" s="391"/>
      <c r="D55" s="392"/>
      <c r="E55" s="392"/>
      <c r="F55" s="290"/>
      <c r="G55" s="290"/>
      <c r="H55" s="291"/>
      <c r="I55" s="289"/>
      <c r="J55" s="289"/>
    </row>
    <row r="56" spans="2:10" ht="3.6" customHeight="1" x14ac:dyDescent="0.25">
      <c r="B56" s="289"/>
      <c r="C56" s="290"/>
      <c r="D56" s="289"/>
      <c r="E56" s="289"/>
      <c r="F56" s="290"/>
      <c r="G56" s="290"/>
      <c r="H56" s="291"/>
      <c r="I56" s="289"/>
      <c r="J56" s="289"/>
    </row>
    <row r="57" spans="2:10" ht="14.4" x14ac:dyDescent="0.3">
      <c r="B57" s="393"/>
      <c r="C57" s="393"/>
      <c r="D57" s="393"/>
      <c r="E57" s="393"/>
      <c r="F57" s="393"/>
      <c r="G57" s="393"/>
      <c r="H57" s="393"/>
      <c r="I57" s="393"/>
      <c r="J57" s="289"/>
    </row>
    <row r="58" spans="2:10" x14ac:dyDescent="0.25">
      <c r="B58" s="296"/>
      <c r="C58" s="289"/>
      <c r="D58" s="289"/>
      <c r="E58" s="289"/>
      <c r="F58" s="289"/>
      <c r="G58" s="289"/>
      <c r="H58" s="289"/>
      <c r="I58" s="289"/>
      <c r="J58" s="289"/>
    </row>
    <row r="59" spans="2:10" x14ac:dyDescent="0.25">
      <c r="B59" s="296"/>
      <c r="C59" s="289"/>
      <c r="D59" s="289"/>
      <c r="E59" s="289"/>
      <c r="F59" s="289"/>
      <c r="G59" s="289"/>
      <c r="H59" s="289"/>
      <c r="I59" s="289"/>
      <c r="J59" s="289"/>
    </row>
  </sheetData>
  <mergeCells count="32">
    <mergeCell ref="B55:C55"/>
    <mergeCell ref="D55:E55"/>
    <mergeCell ref="B57:I57"/>
    <mergeCell ref="B31:I32"/>
    <mergeCell ref="B35:I35"/>
    <mergeCell ref="B40:I40"/>
    <mergeCell ref="B43:I43"/>
    <mergeCell ref="B47:C47"/>
    <mergeCell ref="B49:I49"/>
    <mergeCell ref="B50:H50"/>
    <mergeCell ref="B48:C48"/>
    <mergeCell ref="B7:C8"/>
    <mergeCell ref="B10:I10"/>
    <mergeCell ref="H7:I7"/>
    <mergeCell ref="H8:I8"/>
    <mergeCell ref="B16:I16"/>
    <mergeCell ref="B29:C29"/>
    <mergeCell ref="F29:H29"/>
    <mergeCell ref="B2:I3"/>
    <mergeCell ref="B5:I5"/>
    <mergeCell ref="B23:I23"/>
    <mergeCell ref="B25:C25"/>
    <mergeCell ref="B27:C27"/>
    <mergeCell ref="B26:C26"/>
    <mergeCell ref="B18:C18"/>
    <mergeCell ref="B21:C21"/>
    <mergeCell ref="B19:C19"/>
    <mergeCell ref="H18:I18"/>
    <mergeCell ref="B20:C20"/>
    <mergeCell ref="H21:I21"/>
    <mergeCell ref="H20:I20"/>
    <mergeCell ref="H19:I19"/>
  </mergeCells>
  <dataValidations count="3">
    <dataValidation type="list" allowBlank="1" showInputMessage="1" showErrorMessage="1" sqref="B26:C27" xr:uid="{3D161660-D140-4743-A4D6-54F82D4A80E5}">
      <formula1>"Changement RP,Travaux,Investissement,Autre"</formula1>
    </dataValidation>
    <dataValidation type="list" allowBlank="1" showInputMessage="1" showErrorMessage="1" sqref="H40 H52:H54 H47:H48" xr:uid="{DAEA72D6-35C5-4136-8E3A-55D3ACD20A83}">
      <formula1>$B$30:$B$30</formula1>
    </dataValidation>
    <dataValidation type="list" allowBlank="1" showInputMessage="1" showErrorMessage="1" sqref="H36:H39 H41:H42 H44:H46" xr:uid="{87BAB89B-119F-42F6-88A9-512A422B768A}">
      <formula1>"Libre,Sous Mandat"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="140" zoomScaleNormal="140" workbookViewId="0">
      <selection activeCell="I16" sqref="I16"/>
    </sheetView>
  </sheetViews>
  <sheetFormatPr baseColWidth="10" defaultColWidth="11" defaultRowHeight="15.6" x14ac:dyDescent="0.3"/>
  <cols>
    <col min="1" max="1" width="6.09765625" customWidth="1"/>
    <col min="2" max="2" width="14.5" style="2" customWidth="1"/>
    <col min="3" max="3" width="13.5" bestFit="1" customWidth="1"/>
    <col min="4" max="4" width="14" bestFit="1" customWidth="1"/>
    <col min="5" max="5" width="14.59765625" bestFit="1" customWidth="1"/>
    <col min="6" max="7" width="12.8984375" customWidth="1"/>
    <col min="10" max="10" width="12.09765625" customWidth="1"/>
    <col min="11" max="11" width="13.09765625" customWidth="1"/>
    <col min="12" max="12" width="14.8984375" customWidth="1"/>
  </cols>
  <sheetData>
    <row r="1" spans="2:12" ht="3" customHeight="1" thickBot="1" x14ac:dyDescent="0.35"/>
    <row r="2" spans="2:12" ht="20.100000000000001" customHeight="1" x14ac:dyDescent="0.3">
      <c r="B2" s="342" t="s">
        <v>100</v>
      </c>
      <c r="C2" s="343"/>
      <c r="D2" s="343"/>
      <c r="E2" s="343"/>
      <c r="F2" s="344"/>
      <c r="G2" s="149"/>
      <c r="H2" s="149"/>
      <c r="I2" s="149"/>
      <c r="J2" s="149"/>
      <c r="K2" s="149"/>
    </row>
    <row r="3" spans="2:12" ht="20.100000000000001" customHeight="1" thickBot="1" x14ac:dyDescent="0.35">
      <c r="B3" s="345"/>
      <c r="C3" s="346"/>
      <c r="D3" s="346"/>
      <c r="E3" s="346"/>
      <c r="F3" s="347"/>
      <c r="G3" s="149"/>
      <c r="H3" s="149"/>
      <c r="I3" s="149"/>
      <c r="J3" s="149"/>
      <c r="K3" s="149"/>
    </row>
    <row r="4" spans="2:12" ht="4.3499999999999996" customHeight="1" thickBot="1" x14ac:dyDescent="0.35"/>
    <row r="5" spans="2:12" ht="12" customHeight="1" x14ac:dyDescent="0.3">
      <c r="B5" s="383" t="s">
        <v>57</v>
      </c>
      <c r="C5" s="384"/>
      <c r="D5" s="384"/>
      <c r="E5" s="384"/>
      <c r="F5" s="384"/>
      <c r="I5" s="152"/>
      <c r="J5" s="152"/>
    </row>
    <row r="6" spans="2:12" ht="12" customHeight="1" thickBot="1" x14ac:dyDescent="0.35">
      <c r="B6" s="408"/>
      <c r="C6" s="360"/>
      <c r="D6" s="360"/>
      <c r="E6" s="360"/>
      <c r="F6" s="360"/>
      <c r="I6" s="141"/>
      <c r="J6" s="141"/>
    </row>
    <row r="7" spans="2:12" ht="15" customHeight="1" thickBot="1" x14ac:dyDescent="0.35">
      <c r="B7" s="363" t="s">
        <v>58</v>
      </c>
      <c r="C7" s="364"/>
      <c r="D7" s="301" t="s">
        <v>59</v>
      </c>
      <c r="E7" s="301" t="s">
        <v>101</v>
      </c>
      <c r="F7" s="302" t="s">
        <v>102</v>
      </c>
    </row>
    <row r="8" spans="2:12" ht="15" customHeight="1" thickBot="1" x14ac:dyDescent="0.35">
      <c r="B8" s="409"/>
      <c r="C8" s="410"/>
      <c r="D8" s="312"/>
      <c r="E8" s="312">
        <f>D8*0.015</f>
        <v>0</v>
      </c>
      <c r="F8" s="313"/>
    </row>
    <row r="9" spans="2:12" ht="3" customHeight="1" thickBot="1" x14ac:dyDescent="0.35">
      <c r="B9" s="143"/>
      <c r="C9" s="144"/>
      <c r="D9" s="144"/>
      <c r="E9" s="145"/>
      <c r="F9" s="145"/>
    </row>
    <row r="10" spans="2:12" x14ac:dyDescent="0.3">
      <c r="B10" s="383" t="s">
        <v>56</v>
      </c>
      <c r="C10" s="384"/>
      <c r="D10" s="384"/>
      <c r="E10" s="384"/>
      <c r="F10" s="384"/>
    </row>
    <row r="11" spans="2:12" ht="6" customHeight="1" thickBot="1" x14ac:dyDescent="0.35"/>
    <row r="12" spans="2:12" ht="26.4" customHeight="1" thickBot="1" x14ac:dyDescent="0.35">
      <c r="B12" s="363" t="s">
        <v>103</v>
      </c>
      <c r="C12" s="364"/>
      <c r="D12" s="301" t="s">
        <v>59</v>
      </c>
      <c r="E12" s="301" t="s">
        <v>101</v>
      </c>
      <c r="F12" s="302" t="s">
        <v>104</v>
      </c>
      <c r="L12" s="152"/>
    </row>
    <row r="13" spans="2:12" ht="3" customHeight="1" thickBot="1" x14ac:dyDescent="0.35">
      <c r="B13" s="146"/>
      <c r="F13" s="147"/>
      <c r="L13" s="4"/>
    </row>
    <row r="14" spans="2:12" x14ac:dyDescent="0.3">
      <c r="B14" s="404"/>
      <c r="C14" s="405"/>
      <c r="D14" s="314"/>
      <c r="E14" s="314">
        <f>IF(ISBLANK(D14),0,D14*0.015)</f>
        <v>0</v>
      </c>
      <c r="F14" s="315"/>
      <c r="L14" s="4"/>
    </row>
    <row r="15" spans="2:12" x14ac:dyDescent="0.3">
      <c r="B15" s="402"/>
      <c r="C15" s="403"/>
      <c r="D15" s="316"/>
      <c r="E15" s="316">
        <f t="shared" ref="E15:E17" si="0">IF(ISBLANK(D15),0,D15*0.015)</f>
        <v>0</v>
      </c>
      <c r="F15" s="317"/>
      <c r="L15" s="4"/>
    </row>
    <row r="16" spans="2:12" x14ac:dyDescent="0.3">
      <c r="B16" s="402"/>
      <c r="C16" s="403"/>
      <c r="D16" s="316"/>
      <c r="E16" s="316">
        <f t="shared" si="0"/>
        <v>0</v>
      </c>
      <c r="F16" s="317"/>
      <c r="L16" s="4"/>
    </row>
    <row r="17" spans="2:12" ht="16.2" thickBot="1" x14ac:dyDescent="0.35">
      <c r="B17" s="415"/>
      <c r="C17" s="416"/>
      <c r="D17" s="318"/>
      <c r="E17" s="318">
        <f t="shared" si="0"/>
        <v>0</v>
      </c>
      <c r="F17" s="319"/>
      <c r="L17" s="138"/>
    </row>
    <row r="18" spans="2:12" ht="6" customHeight="1" thickBot="1" x14ac:dyDescent="0.35"/>
    <row r="19" spans="2:12" x14ac:dyDescent="0.3">
      <c r="B19" s="383" t="s">
        <v>105</v>
      </c>
      <c r="C19" s="384"/>
      <c r="D19" s="384"/>
      <c r="E19" s="384"/>
      <c r="F19" s="384"/>
    </row>
    <row r="20" spans="2:12" ht="6" customHeight="1" thickBot="1" x14ac:dyDescent="0.35">
      <c r="B20"/>
    </row>
    <row r="21" spans="2:12" ht="27" customHeight="1" thickBot="1" x14ac:dyDescent="0.35">
      <c r="B21" s="320" t="s">
        <v>106</v>
      </c>
      <c r="C21" s="321" t="s">
        <v>107</v>
      </c>
      <c r="D21" s="321" t="s">
        <v>108</v>
      </c>
      <c r="E21" s="321" t="s">
        <v>109</v>
      </c>
      <c r="F21" s="322" t="s">
        <v>110</v>
      </c>
    </row>
    <row r="22" spans="2:12" ht="16.2" thickBot="1" x14ac:dyDescent="0.35">
      <c r="B22" s="323">
        <v>0.5</v>
      </c>
      <c r="C22" s="324">
        <v>2</v>
      </c>
      <c r="D22" s="325">
        <f>('Etat Civil'!H8+'Etat Civil'!H13+'Etat Civil'!H10+'Etat Civil'!H15)*'Prévision retraite'!B22+'Etat Civil'!H9+'Etat Civil'!H14+(SUM(F14:F17)*12)*0.8</f>
        <v>26180</v>
      </c>
      <c r="E22" s="325">
        <f>'Impôt Retraite'!D14</f>
        <v>0</v>
      </c>
      <c r="F22" s="326">
        <f>SUM(E8,E14:E17)</f>
        <v>0</v>
      </c>
      <c r="G22" s="152"/>
      <c r="H22" s="152"/>
      <c r="I22" s="414"/>
      <c r="J22" s="414"/>
    </row>
    <row r="23" spans="2:12" ht="6.6" customHeight="1" thickBot="1" x14ac:dyDescent="0.35">
      <c r="B23"/>
      <c r="F23" s="142"/>
      <c r="G23" s="4"/>
      <c r="H23" s="4"/>
      <c r="I23" s="4"/>
      <c r="J23" s="4"/>
    </row>
    <row r="24" spans="2:12" ht="17.399999999999999" customHeight="1" thickBot="1" x14ac:dyDescent="0.35">
      <c r="B24" s="394" t="s">
        <v>111</v>
      </c>
      <c r="C24" s="395"/>
      <c r="D24" s="396"/>
      <c r="E24" s="330">
        <f>D22-F22-E22</f>
        <v>26180</v>
      </c>
      <c r="F24" s="327" t="str">
        <f>ROUND((E24/12),0)&amp;"€/mois"</f>
        <v>2182€/mois</v>
      </c>
      <c r="G24" s="140"/>
      <c r="H24" s="139"/>
      <c r="I24" s="407"/>
      <c r="J24" s="407"/>
    </row>
    <row r="25" spans="2:12" ht="17.100000000000001" customHeight="1" thickBot="1" x14ac:dyDescent="0.35">
      <c r="B25" s="394" t="s">
        <v>112</v>
      </c>
      <c r="C25" s="395"/>
      <c r="D25" s="396"/>
      <c r="E25" s="329">
        <f>E24-C30</f>
        <v>-445.16000000000349</v>
      </c>
      <c r="F25" s="328" t="str">
        <f>ROUND((E25/12),0)&amp;"€/mois"</f>
        <v>-37€/mois</v>
      </c>
    </row>
    <row r="26" spans="2:12" ht="3" customHeight="1" thickBot="1" x14ac:dyDescent="0.35">
      <c r="B26" s="133"/>
      <c r="C26" s="139"/>
      <c r="D26" s="132"/>
      <c r="E26" s="132"/>
      <c r="F26" s="132"/>
      <c r="G26" s="140"/>
      <c r="H26" s="139"/>
      <c r="I26" s="407"/>
      <c r="J26" s="407"/>
    </row>
    <row r="27" spans="2:12" ht="17.100000000000001" customHeight="1" thickBot="1" x14ac:dyDescent="0.35">
      <c r="B27" s="411" t="s">
        <v>44</v>
      </c>
      <c r="C27" s="412"/>
      <c r="D27" s="412"/>
      <c r="E27" s="412"/>
      <c r="F27" s="413"/>
      <c r="G27" s="148"/>
      <c r="H27" s="148"/>
      <c r="I27" s="148"/>
      <c r="J27" s="148"/>
      <c r="K27" s="148"/>
    </row>
    <row r="28" spans="2:12" ht="4.3499999999999996" customHeight="1" x14ac:dyDescent="0.3"/>
    <row r="29" spans="2:12" ht="13.35" customHeight="1" x14ac:dyDescent="0.3">
      <c r="B29" s="406"/>
      <c r="C29" s="406"/>
      <c r="D29" s="406"/>
      <c r="E29" s="406"/>
      <c r="F29" s="406"/>
      <c r="G29" s="406"/>
      <c r="H29" s="406"/>
      <c r="I29" s="406"/>
      <c r="J29" s="406"/>
      <c r="K29" s="406"/>
    </row>
    <row r="30" spans="2:12" hidden="1" x14ac:dyDescent="0.3">
      <c r="B30" s="2" t="s">
        <v>113</v>
      </c>
      <c r="C30" s="157">
        <f>('Etat Civil'!H8+'Etat Civil'!H13+'Etat Civil'!H10+'Etat Civil'!H15)-'Etat Civil'!G25-('Principaux objectifs'!F5*12)+(SUM('Situation Patrimoniale'!H12:H14)*0.8)*12-SUM('Situation Patrimoniale'!G12:G14)*12-SUM('Situation Patrimoniale'!G19:G21)*12-IF('Situation Patrimoniale'!B26="Changement RP",'Situation Patrimoniale'!G26*12,IF('Situation Patrimoniale'!B27="Changement RP",'Situation Patrimoniale'!G27*12,'Situation Patrimoniale'!H8*12))</f>
        <v>26625.160000000003</v>
      </c>
    </row>
  </sheetData>
  <mergeCells count="18">
    <mergeCell ref="B17:C17"/>
    <mergeCell ref="B16:C16"/>
    <mergeCell ref="B15:C15"/>
    <mergeCell ref="B14:C14"/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20" zoomScaleNormal="120" workbookViewId="0">
      <selection activeCell="F29" sqref="F29"/>
    </sheetView>
  </sheetViews>
  <sheetFormatPr baseColWidth="10" defaultColWidth="11" defaultRowHeight="15.6" x14ac:dyDescent="0.3"/>
  <cols>
    <col min="1" max="1" width="6.09765625" customWidth="1"/>
    <col min="2" max="2" width="11.09765625" style="2"/>
    <col min="3" max="3" width="14.09765625" bestFit="1" customWidth="1"/>
    <col min="4" max="4" width="14" bestFit="1" customWidth="1"/>
    <col min="5" max="5" width="15.3984375" customWidth="1"/>
    <col min="6" max="6" width="12.59765625" customWidth="1"/>
    <col min="8" max="8" width="11.59765625" bestFit="1" customWidth="1"/>
    <col min="9" max="9" width="12.0976562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20.100000000000001" customHeight="1" x14ac:dyDescent="0.3">
      <c r="B2" s="342" t="s">
        <v>114</v>
      </c>
      <c r="C2" s="343"/>
      <c r="D2" s="343"/>
      <c r="E2" s="343"/>
      <c r="F2" s="343"/>
      <c r="G2" s="343"/>
      <c r="H2" s="343"/>
      <c r="I2" s="343"/>
      <c r="J2" s="343"/>
      <c r="K2" s="343"/>
      <c r="L2" s="344"/>
    </row>
    <row r="3" spans="2:13" ht="20.100000000000001" customHeight="1" thickBot="1" x14ac:dyDescent="0.35">
      <c r="B3" s="345"/>
      <c r="C3" s="346"/>
      <c r="D3" s="346"/>
      <c r="E3" s="346"/>
      <c r="F3" s="346"/>
      <c r="G3" s="346"/>
      <c r="H3" s="346"/>
      <c r="I3" s="346"/>
      <c r="J3" s="346"/>
      <c r="K3" s="346"/>
      <c r="L3" s="347"/>
    </row>
    <row r="4" spans="2:13" ht="4.3499999999999996" customHeight="1" x14ac:dyDescent="0.3"/>
    <row r="5" spans="2:13" x14ac:dyDescent="0.3">
      <c r="B5" s="418" t="s">
        <v>115</v>
      </c>
      <c r="C5" s="418"/>
      <c r="D5" s="418"/>
      <c r="E5" s="418"/>
      <c r="F5" s="418"/>
      <c r="G5" s="418"/>
      <c r="H5" s="418"/>
      <c r="I5" s="418"/>
      <c r="J5" s="418"/>
      <c r="K5" s="418"/>
      <c r="L5" s="418"/>
    </row>
    <row r="6" spans="2:13" ht="6" customHeight="1" thickBot="1" x14ac:dyDescent="0.35"/>
    <row r="7" spans="2:13" ht="16.2" thickBot="1" x14ac:dyDescent="0.35">
      <c r="B7" s="175" t="s">
        <v>103</v>
      </c>
      <c r="C7" s="176" t="s">
        <v>59</v>
      </c>
      <c r="D7" s="176" t="s">
        <v>23</v>
      </c>
      <c r="E7" s="176" t="s">
        <v>116</v>
      </c>
      <c r="F7" s="176" t="s">
        <v>117</v>
      </c>
      <c r="G7" s="176" t="s">
        <v>61</v>
      </c>
      <c r="H7" s="176" t="s">
        <v>68</v>
      </c>
      <c r="I7" s="176" t="s">
        <v>78</v>
      </c>
      <c r="J7" s="419" t="s">
        <v>83</v>
      </c>
      <c r="K7" s="419"/>
      <c r="L7" s="177" t="s">
        <v>118</v>
      </c>
      <c r="M7" s="177" t="s">
        <v>119</v>
      </c>
    </row>
    <row r="8" spans="2:13" ht="5.0999999999999996" customHeight="1" thickBot="1" x14ac:dyDescent="0.35">
      <c r="K8" s="1"/>
    </row>
    <row r="9" spans="2:13" x14ac:dyDescent="0.3">
      <c r="B9" s="151"/>
      <c r="C9" s="164"/>
      <c r="D9" s="164"/>
      <c r="E9" s="164"/>
      <c r="F9" s="95"/>
      <c r="G9" s="95"/>
      <c r="H9" s="167"/>
      <c r="I9" s="119"/>
      <c r="J9" s="420"/>
      <c r="K9" s="421"/>
      <c r="L9" s="172"/>
    </row>
    <row r="10" spans="2:13" x14ac:dyDescent="0.3">
      <c r="B10" s="153"/>
      <c r="C10" s="165"/>
      <c r="D10" s="165"/>
      <c r="E10" s="165"/>
      <c r="F10" s="110"/>
      <c r="G10" s="110"/>
      <c r="H10" s="168"/>
      <c r="I10" s="120"/>
      <c r="J10" s="422"/>
      <c r="K10" s="423"/>
      <c r="L10" s="173"/>
    </row>
    <row r="11" spans="2:13" ht="16.2" thickBot="1" x14ac:dyDescent="0.35">
      <c r="B11" s="153"/>
      <c r="C11" s="165"/>
      <c r="D11" s="165"/>
      <c r="E11" s="165"/>
      <c r="F11" s="96"/>
      <c r="G11" s="96"/>
      <c r="H11" s="169"/>
      <c r="I11" s="15"/>
      <c r="J11" s="424"/>
      <c r="K11" s="424"/>
      <c r="L11" s="173"/>
    </row>
    <row r="12" spans="2:13" ht="16.2" thickBot="1" x14ac:dyDescent="0.35">
      <c r="B12" s="150"/>
      <c r="C12" s="166"/>
      <c r="D12" s="166"/>
      <c r="E12" s="166"/>
      <c r="F12" s="97"/>
      <c r="G12" s="97"/>
      <c r="H12" s="170"/>
      <c r="I12" s="14"/>
      <c r="J12" s="417"/>
      <c r="K12" s="417"/>
      <c r="L12" s="174"/>
      <c r="M12" s="171"/>
    </row>
    <row r="13" spans="2:13" ht="11.4" customHeight="1" thickBot="1" x14ac:dyDescent="0.35"/>
    <row r="14" spans="2:13" ht="16.2" thickBot="1" x14ac:dyDescent="0.35">
      <c r="B14" s="426" t="s">
        <v>120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8"/>
    </row>
    <row r="15" spans="2:13" ht="6" customHeight="1" thickBot="1" x14ac:dyDescent="0.35"/>
    <row r="16" spans="2:13" ht="16.2" thickBot="1" x14ac:dyDescent="0.35">
      <c r="B16" s="175" t="s">
        <v>103</v>
      </c>
      <c r="C16" s="176" t="s">
        <v>59</v>
      </c>
      <c r="D16" s="176" t="s">
        <v>23</v>
      </c>
      <c r="E16" s="176" t="s">
        <v>116</v>
      </c>
      <c r="F16" s="176" t="s">
        <v>117</v>
      </c>
      <c r="G16" s="176" t="s">
        <v>61</v>
      </c>
      <c r="H16" s="176" t="s">
        <v>68</v>
      </c>
      <c r="I16" s="176" t="s">
        <v>78</v>
      </c>
      <c r="J16" s="419" t="s">
        <v>83</v>
      </c>
      <c r="K16" s="419"/>
      <c r="L16" s="177" t="s">
        <v>118</v>
      </c>
      <c r="M16" s="177" t="s">
        <v>119</v>
      </c>
    </row>
    <row r="17" spans="2:13" ht="5.0999999999999996" customHeight="1" thickBot="1" x14ac:dyDescent="0.35">
      <c r="K17" s="1"/>
    </row>
    <row r="18" spans="2:13" ht="17.100000000000001" customHeight="1" x14ac:dyDescent="0.3">
      <c r="B18" s="151"/>
      <c r="C18" s="164"/>
      <c r="D18" s="164"/>
      <c r="E18" s="164"/>
      <c r="F18" s="95"/>
      <c r="G18" s="95"/>
      <c r="H18" s="167"/>
      <c r="I18" s="119"/>
      <c r="J18" s="420"/>
      <c r="K18" s="421"/>
      <c r="L18" s="172"/>
    </row>
    <row r="19" spans="2:13" ht="17.100000000000001" customHeight="1" x14ac:dyDescent="0.3">
      <c r="B19" s="153"/>
      <c r="C19" s="165"/>
      <c r="D19" s="165"/>
      <c r="E19" s="165"/>
      <c r="F19" s="110"/>
      <c r="G19" s="110"/>
      <c r="H19" s="168"/>
      <c r="I19" s="120"/>
      <c r="J19" s="422"/>
      <c r="K19" s="423"/>
      <c r="L19" s="173"/>
    </row>
    <row r="20" spans="2:13" ht="17.100000000000001" customHeight="1" thickBot="1" x14ac:dyDescent="0.35">
      <c r="B20" s="153"/>
      <c r="C20" s="165"/>
      <c r="D20" s="165"/>
      <c r="E20" s="165"/>
      <c r="F20" s="96"/>
      <c r="G20" s="96"/>
      <c r="H20" s="169"/>
      <c r="I20" s="15"/>
      <c r="J20" s="424"/>
      <c r="K20" s="424"/>
      <c r="L20" s="173"/>
    </row>
    <row r="21" spans="2:13" ht="16.2" thickBot="1" x14ac:dyDescent="0.35">
      <c r="B21" s="150"/>
      <c r="C21" s="166"/>
      <c r="D21" s="166"/>
      <c r="E21" s="166"/>
      <c r="F21" s="97"/>
      <c r="G21" s="97"/>
      <c r="H21" s="170"/>
      <c r="I21" s="14"/>
      <c r="J21" s="417"/>
      <c r="K21" s="417"/>
      <c r="L21" s="174"/>
      <c r="M21" s="171"/>
    </row>
    <row r="22" spans="2:13" ht="4.3499999999999996" customHeight="1" x14ac:dyDescent="0.3"/>
    <row r="23" spans="2:13" ht="13.35" customHeight="1" x14ac:dyDescent="0.3">
      <c r="B23" s="425" t="s">
        <v>44</v>
      </c>
      <c r="C23" s="425"/>
      <c r="D23" s="425"/>
      <c r="E23" s="425"/>
      <c r="F23" s="425"/>
      <c r="G23" s="425"/>
      <c r="H23" s="425"/>
      <c r="I23" s="425"/>
      <c r="J23" s="425"/>
      <c r="K23" s="425"/>
      <c r="L23" s="425"/>
    </row>
  </sheetData>
  <mergeCells count="14">
    <mergeCell ref="B23:L23"/>
    <mergeCell ref="B14:L14"/>
    <mergeCell ref="J18:K18"/>
    <mergeCell ref="J19:K19"/>
    <mergeCell ref="J20:K20"/>
    <mergeCell ref="J21:K21"/>
    <mergeCell ref="J16:K16"/>
    <mergeCell ref="J12:K12"/>
    <mergeCell ref="B2:L3"/>
    <mergeCell ref="B5:L5"/>
    <mergeCell ref="J7:K7"/>
    <mergeCell ref="J9:K9"/>
    <mergeCell ref="J10:K10"/>
    <mergeCell ref="J11:K1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09765625" customWidth="1"/>
    <col min="2" max="2" width="23.09765625" customWidth="1"/>
    <col min="3" max="3" width="16.59765625" style="3" customWidth="1"/>
    <col min="4" max="4" width="16.09765625" customWidth="1"/>
    <col min="5" max="5" width="18.09765625" customWidth="1"/>
    <col min="6" max="7" width="17.59765625" style="3" customWidth="1"/>
    <col min="8" max="8" width="17.59765625" style="6" customWidth="1"/>
    <col min="9" max="9" width="3.09765625" customWidth="1"/>
  </cols>
  <sheetData>
    <row r="1" spans="2:10" ht="2.4" customHeight="1" thickBot="1" x14ac:dyDescent="0.35"/>
    <row r="2" spans="2:10" ht="15.6" customHeight="1" x14ac:dyDescent="0.3">
      <c r="B2" s="436" t="s">
        <v>81</v>
      </c>
      <c r="C2" s="437"/>
      <c r="D2" s="437"/>
      <c r="E2" s="437"/>
      <c r="F2" s="437"/>
      <c r="G2" s="437"/>
      <c r="H2" s="437"/>
      <c r="I2" s="437"/>
      <c r="J2" s="438"/>
    </row>
    <row r="3" spans="2:10" ht="16.350000000000001" customHeight="1" thickBot="1" x14ac:dyDescent="0.35">
      <c r="B3" s="439"/>
      <c r="C3" s="440"/>
      <c r="D3" s="440"/>
      <c r="E3" s="440"/>
      <c r="F3" s="440"/>
      <c r="G3" s="440"/>
      <c r="H3" s="440"/>
      <c r="I3" s="440"/>
      <c r="J3" s="441"/>
    </row>
    <row r="4" spans="2:10" ht="5.0999999999999996" customHeight="1" thickBot="1" x14ac:dyDescent="0.35">
      <c r="C4" s="5"/>
      <c r="F4" s="5"/>
      <c r="G4" s="5"/>
      <c r="H4" s="7"/>
    </row>
    <row r="5" spans="2:10" ht="16.2" thickBot="1" x14ac:dyDescent="0.35">
      <c r="B5" s="154" t="s">
        <v>121</v>
      </c>
      <c r="C5" s="9" t="s">
        <v>59</v>
      </c>
      <c r="D5" s="155" t="s">
        <v>83</v>
      </c>
      <c r="E5" s="155" t="s">
        <v>122</v>
      </c>
      <c r="F5" s="10" t="s">
        <v>85</v>
      </c>
      <c r="G5" s="11" t="s">
        <v>86</v>
      </c>
      <c r="H5" s="12" t="s">
        <v>123</v>
      </c>
      <c r="I5" s="446" t="s">
        <v>124</v>
      </c>
      <c r="J5" s="447"/>
    </row>
    <row r="6" spans="2:10" ht="3.6" customHeight="1" thickBot="1" x14ac:dyDescent="0.35">
      <c r="C6" s="5"/>
      <c r="F6" s="5"/>
      <c r="G6" s="5"/>
      <c r="H6" s="7"/>
    </row>
    <row r="7" spans="2:10" ht="16.2" thickBot="1" x14ac:dyDescent="0.35">
      <c r="B7" s="442" t="s">
        <v>125</v>
      </c>
      <c r="C7" s="443"/>
      <c r="D7" s="443"/>
      <c r="E7" s="443"/>
      <c r="F7" s="443"/>
      <c r="G7" s="443"/>
      <c r="H7" s="444"/>
    </row>
    <row r="8" spans="2:10" ht="5.0999999999999996" customHeight="1" thickBot="1" x14ac:dyDescent="0.35">
      <c r="C8" s="5"/>
      <c r="F8" s="5"/>
      <c r="G8" s="5"/>
      <c r="H8" s="7"/>
    </row>
    <row r="9" spans="2:10" x14ac:dyDescent="0.3">
      <c r="B9" s="90" t="s">
        <v>90</v>
      </c>
      <c r="C9" s="128">
        <v>50000</v>
      </c>
      <c r="D9" s="108"/>
      <c r="E9" s="98"/>
      <c r="F9" s="128">
        <v>50000</v>
      </c>
      <c r="G9" s="109"/>
      <c r="H9" s="100"/>
    </row>
    <row r="10" spans="2:10" x14ac:dyDescent="0.3">
      <c r="B10" s="91" t="s">
        <v>126</v>
      </c>
      <c r="C10" s="129">
        <v>2000</v>
      </c>
      <c r="D10" s="110"/>
      <c r="E10" s="96"/>
      <c r="F10" s="129">
        <v>2000</v>
      </c>
      <c r="G10" s="111"/>
      <c r="H10" s="102"/>
    </row>
    <row r="11" spans="2:10" ht="16.2" thickBot="1" x14ac:dyDescent="0.35">
      <c r="B11" s="112"/>
      <c r="C11" s="131"/>
      <c r="D11" s="113"/>
      <c r="E11" s="114"/>
      <c r="F11" s="131"/>
      <c r="G11" s="115"/>
      <c r="H11" s="116"/>
    </row>
    <row r="12" spans="2:10" ht="16.2" thickBot="1" x14ac:dyDescent="0.35">
      <c r="B12" s="92"/>
      <c r="C12" s="130"/>
      <c r="D12" s="117"/>
      <c r="E12" s="97"/>
      <c r="F12" s="130"/>
      <c r="G12" s="14"/>
      <c r="H12" s="118"/>
      <c r="I12" s="448">
        <f>SUM(F9:F12)</f>
        <v>52000</v>
      </c>
      <c r="J12" s="449"/>
    </row>
    <row r="13" spans="2:10" ht="5.0999999999999996" customHeight="1" x14ac:dyDescent="0.3">
      <c r="C13" s="5"/>
      <c r="F13" s="5"/>
      <c r="G13" s="5"/>
      <c r="H13" s="7"/>
    </row>
    <row r="14" spans="2:10" x14ac:dyDescent="0.3">
      <c r="B14" s="445" t="s">
        <v>127</v>
      </c>
      <c r="C14" s="445"/>
      <c r="D14" s="445"/>
      <c r="E14" s="445"/>
      <c r="F14" s="445"/>
      <c r="G14" s="445"/>
      <c r="H14" s="445"/>
    </row>
    <row r="15" spans="2:10" ht="5.0999999999999996" customHeight="1" thickBot="1" x14ac:dyDescent="0.35">
      <c r="C15" s="5"/>
      <c r="F15" s="5"/>
      <c r="G15" s="5"/>
      <c r="H15" s="7"/>
    </row>
    <row r="16" spans="2:10" x14ac:dyDescent="0.3">
      <c r="B16" s="90" t="s">
        <v>128</v>
      </c>
      <c r="C16" s="128">
        <v>25000</v>
      </c>
      <c r="D16" s="95" t="s">
        <v>129</v>
      </c>
      <c r="E16" s="95" t="s">
        <v>130</v>
      </c>
      <c r="F16" s="128">
        <v>20000</v>
      </c>
      <c r="G16" s="105" t="s">
        <v>131</v>
      </c>
      <c r="H16" s="100" t="s">
        <v>132</v>
      </c>
    </row>
    <row r="17" spans="2:10" x14ac:dyDescent="0.3">
      <c r="B17" s="91" t="s">
        <v>133</v>
      </c>
      <c r="C17" s="129">
        <v>10000</v>
      </c>
      <c r="D17" s="136">
        <v>4.4999999999999998E-2</v>
      </c>
      <c r="E17" s="137">
        <v>0.42857142857142855</v>
      </c>
      <c r="F17" s="129">
        <v>9000</v>
      </c>
      <c r="G17" s="106" t="s">
        <v>131</v>
      </c>
      <c r="H17" s="102" t="s">
        <v>132</v>
      </c>
    </row>
    <row r="18" spans="2:10" ht="16.2" thickBot="1" x14ac:dyDescent="0.35">
      <c r="B18" s="91" t="s">
        <v>134</v>
      </c>
      <c r="C18" s="129">
        <v>4000</v>
      </c>
      <c r="D18" s="110"/>
      <c r="E18" s="110"/>
      <c r="F18" s="129">
        <v>0</v>
      </c>
      <c r="G18" s="106" t="s">
        <v>135</v>
      </c>
      <c r="H18" s="102" t="s">
        <v>132</v>
      </c>
    </row>
    <row r="19" spans="2:10" ht="16.2" thickBot="1" x14ac:dyDescent="0.35">
      <c r="B19" s="92"/>
      <c r="C19" s="130"/>
      <c r="D19" s="117"/>
      <c r="E19" s="117"/>
      <c r="F19" s="130"/>
      <c r="G19" s="107"/>
      <c r="H19" s="104"/>
      <c r="I19" s="429">
        <f>SUM(F16:F19)</f>
        <v>29000</v>
      </c>
      <c r="J19" s="430"/>
    </row>
    <row r="20" spans="2:10" ht="5.0999999999999996" customHeight="1" x14ac:dyDescent="0.3">
      <c r="C20" s="5"/>
      <c r="F20" s="5"/>
      <c r="G20" s="5"/>
      <c r="H20" s="7"/>
    </row>
    <row r="21" spans="2:10" x14ac:dyDescent="0.3">
      <c r="B21" s="445" t="s">
        <v>136</v>
      </c>
      <c r="C21" s="445"/>
      <c r="D21" s="445"/>
      <c r="E21" s="445"/>
      <c r="F21" s="445"/>
      <c r="G21" s="445"/>
      <c r="H21" s="445"/>
    </row>
    <row r="22" spans="2:10" ht="5.0999999999999996" customHeight="1" thickBot="1" x14ac:dyDescent="0.35">
      <c r="C22" s="5"/>
      <c r="F22" s="5"/>
      <c r="G22" s="5"/>
      <c r="H22" s="7"/>
    </row>
    <row r="23" spans="2:10" x14ac:dyDescent="0.3">
      <c r="B23" s="90"/>
      <c r="C23" s="128"/>
      <c r="D23" s="98"/>
      <c r="E23" s="98"/>
      <c r="F23" s="128"/>
      <c r="G23" s="99"/>
      <c r="H23" s="100"/>
    </row>
    <row r="24" spans="2:10" ht="16.2" thickBot="1" x14ac:dyDescent="0.35">
      <c r="B24" s="91"/>
      <c r="C24" s="129"/>
      <c r="D24" s="96"/>
      <c r="E24" s="96"/>
      <c r="F24" s="129"/>
      <c r="G24" s="101"/>
      <c r="H24" s="102"/>
    </row>
    <row r="25" spans="2:10" ht="16.2" thickBot="1" x14ac:dyDescent="0.35">
      <c r="B25" s="92"/>
      <c r="C25" s="130"/>
      <c r="D25" s="97"/>
      <c r="E25" s="97"/>
      <c r="F25" s="130"/>
      <c r="G25" s="103"/>
      <c r="H25" s="104"/>
      <c r="I25" s="429">
        <f>SUM(F23:F25)</f>
        <v>0</v>
      </c>
      <c r="J25" s="430"/>
    </row>
    <row r="26" spans="2:10" ht="2.1" customHeight="1" thickBot="1" x14ac:dyDescent="0.35">
      <c r="C26" s="5"/>
      <c r="F26" s="5"/>
      <c r="G26" s="5"/>
      <c r="H26" s="7"/>
    </row>
    <row r="27" spans="2:10" ht="0.6" customHeight="1" thickBot="1" x14ac:dyDescent="0.35">
      <c r="C27" s="5"/>
      <c r="F27" s="5"/>
      <c r="G27" s="5"/>
      <c r="H27" s="7"/>
    </row>
    <row r="28" spans="2:10" ht="16.2" thickBot="1" x14ac:dyDescent="0.35">
      <c r="C28" s="5"/>
      <c r="F28" s="8" t="s">
        <v>137</v>
      </c>
      <c r="G28" s="450" t="s">
        <v>138</v>
      </c>
      <c r="H28" s="451"/>
      <c r="I28" s="434">
        <f>SUM(I12,I19,I25)</f>
        <v>81000</v>
      </c>
      <c r="J28" s="435"/>
    </row>
    <row r="29" spans="2:10" ht="11.1" customHeight="1" thickBot="1" x14ac:dyDescent="0.35">
      <c r="B29" s="431" t="s">
        <v>44</v>
      </c>
      <c r="C29" s="432"/>
      <c r="D29" s="432"/>
      <c r="E29" s="432"/>
      <c r="F29" s="432"/>
      <c r="G29" s="432"/>
      <c r="H29" s="432"/>
      <c r="I29" s="432"/>
      <c r="J29" s="433"/>
    </row>
    <row r="32" spans="2:10" hidden="1" x14ac:dyDescent="0.3">
      <c r="B32" t="s">
        <v>92</v>
      </c>
    </row>
    <row r="33" spans="2:2" hidden="1" x14ac:dyDescent="0.3">
      <c r="B33" t="s">
        <v>132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120" zoomScaleNormal="120" workbookViewId="0">
      <selection activeCell="I21" sqref="I21"/>
    </sheetView>
  </sheetViews>
  <sheetFormatPr baseColWidth="10" defaultColWidth="11" defaultRowHeight="15.6" x14ac:dyDescent="0.3"/>
  <cols>
    <col min="1" max="1" width="5" customWidth="1"/>
    <col min="2" max="2" width="17.09765625" customWidth="1"/>
    <col min="3" max="3" width="19.09765625" customWidth="1"/>
    <col min="4" max="4" width="15.5" customWidth="1"/>
    <col min="7" max="7" width="13" customWidth="1"/>
  </cols>
  <sheetData>
    <row r="1" spans="2:7" ht="4.3499999999999996" customHeight="1" thickBot="1" x14ac:dyDescent="0.35"/>
    <row r="2" spans="2:7" ht="20.100000000000001" customHeight="1" x14ac:dyDescent="0.3">
      <c r="B2" s="342" t="s">
        <v>139</v>
      </c>
      <c r="C2" s="343"/>
      <c r="D2" s="343"/>
      <c r="E2" s="343"/>
      <c r="F2" s="343"/>
      <c r="G2" s="344"/>
    </row>
    <row r="3" spans="2:7" ht="20.100000000000001" customHeight="1" thickBot="1" x14ac:dyDescent="0.35">
      <c r="B3" s="345"/>
      <c r="C3" s="346"/>
      <c r="D3" s="346"/>
      <c r="E3" s="346"/>
      <c r="F3" s="346"/>
      <c r="G3" s="347"/>
    </row>
    <row r="4" spans="2:7" ht="5.0999999999999996" customHeight="1" thickBot="1" x14ac:dyDescent="0.35"/>
    <row r="5" spans="2:7" ht="17.100000000000001" customHeight="1" thickBot="1" x14ac:dyDescent="0.35">
      <c r="B5" s="387" t="s">
        <v>140</v>
      </c>
      <c r="C5" s="388"/>
      <c r="D5" s="388"/>
      <c r="E5" s="388"/>
      <c r="F5" s="456">
        <v>300</v>
      </c>
      <c r="G5" s="457"/>
    </row>
    <row r="6" spans="2:7" x14ac:dyDescent="0.3">
      <c r="B6" s="387" t="s">
        <v>141</v>
      </c>
      <c r="C6" s="388"/>
      <c r="D6" s="388"/>
      <c r="E6" s="388"/>
      <c r="F6" s="388"/>
      <c r="G6" s="388"/>
    </row>
    <row r="7" spans="2:7" ht="5.0999999999999996" customHeight="1" thickBot="1" x14ac:dyDescent="0.35"/>
    <row r="8" spans="2:7" ht="16.2" thickBot="1" x14ac:dyDescent="0.35">
      <c r="B8" s="300" t="s">
        <v>142</v>
      </c>
      <c r="C8" s="301" t="s">
        <v>143</v>
      </c>
      <c r="D8" s="301" t="s">
        <v>144</v>
      </c>
      <c r="E8" s="373" t="s">
        <v>35</v>
      </c>
      <c r="F8" s="373"/>
      <c r="G8" s="374"/>
    </row>
    <row r="9" spans="2:7" ht="6" customHeight="1" thickBot="1" x14ac:dyDescent="0.35"/>
    <row r="10" spans="2:7" ht="66" customHeight="1" x14ac:dyDescent="0.3">
      <c r="B10" s="121" t="s">
        <v>145</v>
      </c>
      <c r="C10" s="119"/>
      <c r="D10" s="159" t="s">
        <v>146</v>
      </c>
      <c r="E10" s="452" t="s">
        <v>147</v>
      </c>
      <c r="F10" s="452"/>
      <c r="G10" s="453"/>
    </row>
    <row r="11" spans="2:7" ht="38.1" customHeight="1" x14ac:dyDescent="0.3">
      <c r="B11" s="122" t="s">
        <v>148</v>
      </c>
      <c r="C11" s="120"/>
      <c r="D11" s="160" t="s">
        <v>146</v>
      </c>
      <c r="E11" s="454" t="s">
        <v>149</v>
      </c>
      <c r="F11" s="454"/>
      <c r="G11" s="455"/>
    </row>
    <row r="12" spans="2:7" ht="36.6" customHeight="1" x14ac:dyDescent="0.3">
      <c r="B12" s="122" t="s">
        <v>150</v>
      </c>
      <c r="C12" s="120"/>
      <c r="D12" s="160" t="s">
        <v>151</v>
      </c>
      <c r="E12" s="454" t="s">
        <v>152</v>
      </c>
      <c r="F12" s="454"/>
      <c r="G12" s="455"/>
    </row>
    <row r="13" spans="2:7" ht="3" customHeight="1" x14ac:dyDescent="0.3"/>
    <row r="14" spans="2:7" x14ac:dyDescent="0.3">
      <c r="B14" s="418" t="s">
        <v>153</v>
      </c>
      <c r="C14" s="418"/>
      <c r="D14" s="418"/>
      <c r="E14" s="418"/>
      <c r="F14" s="418"/>
      <c r="G14" s="418"/>
    </row>
    <row r="15" spans="2:7" ht="6" customHeight="1" thickBot="1" x14ac:dyDescent="0.35"/>
    <row r="16" spans="2:7" ht="16.2" thickBot="1" x14ac:dyDescent="0.35">
      <c r="B16" s="300" t="s">
        <v>142</v>
      </c>
      <c r="C16" s="301" t="s">
        <v>143</v>
      </c>
      <c r="D16" s="301" t="s">
        <v>144</v>
      </c>
      <c r="E16" s="373" t="s">
        <v>35</v>
      </c>
      <c r="F16" s="373"/>
      <c r="G16" s="374"/>
    </row>
    <row r="17" spans="2:7" ht="6" customHeight="1" thickBot="1" x14ac:dyDescent="0.35"/>
    <row r="18" spans="2:7" x14ac:dyDescent="0.3">
      <c r="B18" s="121"/>
      <c r="C18" s="161"/>
      <c r="D18" s="159"/>
      <c r="E18" s="452"/>
      <c r="F18" s="452"/>
      <c r="G18" s="453"/>
    </row>
    <row r="19" spans="2:7" x14ac:dyDescent="0.3">
      <c r="B19" s="122"/>
      <c r="C19" s="162"/>
      <c r="D19" s="160"/>
      <c r="E19" s="454"/>
      <c r="F19" s="454"/>
      <c r="G19" s="455"/>
    </row>
    <row r="20" spans="2:7" x14ac:dyDescent="0.3">
      <c r="B20" s="122"/>
      <c r="C20" s="162"/>
      <c r="D20" s="160"/>
      <c r="E20" s="454"/>
      <c r="F20" s="454"/>
      <c r="G20" s="455"/>
    </row>
    <row r="21" spans="2:7" x14ac:dyDescent="0.3">
      <c r="B21" s="122"/>
      <c r="C21" s="162"/>
      <c r="D21" s="160"/>
      <c r="E21" s="454"/>
      <c r="F21" s="454"/>
      <c r="G21" s="455"/>
    </row>
    <row r="22" spans="2:7" ht="16.2" thickBot="1" x14ac:dyDescent="0.35">
      <c r="B22" s="123"/>
      <c r="C22" s="163"/>
      <c r="D22" s="158"/>
      <c r="E22" s="458"/>
      <c r="F22" s="458"/>
      <c r="G22" s="459"/>
    </row>
    <row r="23" spans="2:7" ht="3" customHeight="1" thickBot="1" x14ac:dyDescent="0.35"/>
    <row r="24" spans="2:7" ht="12" customHeight="1" thickBot="1" x14ac:dyDescent="0.35">
      <c r="B24" s="431" t="s">
        <v>44</v>
      </c>
      <c r="C24" s="432"/>
      <c r="D24" s="432"/>
      <c r="E24" s="432"/>
      <c r="F24" s="432"/>
      <c r="G24" s="433"/>
    </row>
  </sheetData>
  <mergeCells count="16">
    <mergeCell ref="F5:G5"/>
    <mergeCell ref="E20:G20"/>
    <mergeCell ref="E21:G21"/>
    <mergeCell ref="E22:G22"/>
    <mergeCell ref="B2:G3"/>
    <mergeCell ref="B5:E5"/>
    <mergeCell ref="B24:G24"/>
    <mergeCell ref="B6:G6"/>
    <mergeCell ref="B14:G14"/>
    <mergeCell ref="E16:G16"/>
    <mergeCell ref="E18:G18"/>
    <mergeCell ref="E19:G19"/>
    <mergeCell ref="E8:G8"/>
    <mergeCell ref="E10:G10"/>
    <mergeCell ref="E11:G11"/>
    <mergeCell ref="E12:G1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59765625" customWidth="1"/>
    <col min="5" max="5" width="2.09765625" customWidth="1"/>
    <col min="8" max="8" width="10.09765625" customWidth="1"/>
    <col min="9" max="9" width="2.09765625" customWidth="1"/>
    <col min="12" max="12" width="11.59765625" customWidth="1"/>
    <col min="13" max="13" width="2.0976562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485" t="s">
        <v>154</v>
      </c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7"/>
    </row>
    <row r="5" spans="2:16" ht="16.2" thickBot="1" x14ac:dyDescent="0.35">
      <c r="B5" s="488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90"/>
    </row>
    <row r="8" spans="2:16" ht="16.2" thickBot="1" x14ac:dyDescent="0.35"/>
    <row r="9" spans="2:16" x14ac:dyDescent="0.3">
      <c r="B9" s="491" t="s">
        <v>155</v>
      </c>
      <c r="C9" s="500"/>
      <c r="D9" s="492"/>
      <c r="F9" s="494" t="s">
        <v>156</v>
      </c>
      <c r="G9" s="495"/>
      <c r="H9" s="496"/>
      <c r="J9" s="494" t="s">
        <v>157</v>
      </c>
      <c r="K9" s="495"/>
      <c r="L9" s="496"/>
      <c r="N9" s="491" t="s">
        <v>158</v>
      </c>
      <c r="O9" s="492"/>
    </row>
    <row r="10" spans="2:16" ht="16.2" thickBot="1" x14ac:dyDescent="0.35">
      <c r="B10" s="501"/>
      <c r="C10" s="418"/>
      <c r="D10" s="502"/>
      <c r="F10" s="497"/>
      <c r="G10" s="498"/>
      <c r="H10" s="499"/>
      <c r="J10" s="497"/>
      <c r="K10" s="498"/>
      <c r="L10" s="499"/>
      <c r="N10" s="493"/>
      <c r="O10" s="451"/>
    </row>
    <row r="11" spans="2:16" ht="15" customHeight="1" x14ac:dyDescent="0.3">
      <c r="B11" s="460" t="s">
        <v>159</v>
      </c>
      <c r="C11" s="461"/>
      <c r="D11" s="462"/>
      <c r="F11" s="466" t="s">
        <v>160</v>
      </c>
      <c r="G11" s="467"/>
      <c r="H11" s="468"/>
      <c r="J11" s="475" t="s">
        <v>161</v>
      </c>
      <c r="K11" s="476"/>
      <c r="L11" s="477"/>
      <c r="N11" s="466" t="s">
        <v>162</v>
      </c>
      <c r="O11" s="484"/>
    </row>
    <row r="12" spans="2:16" x14ac:dyDescent="0.3">
      <c r="B12" s="460"/>
      <c r="C12" s="461"/>
      <c r="D12" s="462"/>
      <c r="F12" s="469"/>
      <c r="G12" s="470"/>
      <c r="H12" s="471"/>
      <c r="J12" s="478"/>
      <c r="K12" s="479"/>
      <c r="L12" s="480"/>
      <c r="N12" s="460"/>
      <c r="O12" s="462"/>
    </row>
    <row r="13" spans="2:16" x14ac:dyDescent="0.3">
      <c r="B13" s="460"/>
      <c r="C13" s="461"/>
      <c r="D13" s="462"/>
      <c r="F13" s="469"/>
      <c r="G13" s="470"/>
      <c r="H13" s="471"/>
      <c r="J13" s="478"/>
      <c r="K13" s="479"/>
      <c r="L13" s="480"/>
      <c r="N13" s="460"/>
      <c r="O13" s="462"/>
    </row>
    <row r="14" spans="2:16" x14ac:dyDescent="0.3">
      <c r="B14" s="460"/>
      <c r="C14" s="461"/>
      <c r="D14" s="462"/>
      <c r="F14" s="469"/>
      <c r="G14" s="470"/>
      <c r="H14" s="471"/>
      <c r="J14" s="478"/>
      <c r="K14" s="479"/>
      <c r="L14" s="480"/>
      <c r="N14" s="460"/>
      <c r="O14" s="462"/>
      <c r="P14" s="4"/>
    </row>
    <row r="15" spans="2:16" x14ac:dyDescent="0.3">
      <c r="B15" s="460"/>
      <c r="C15" s="461"/>
      <c r="D15" s="462"/>
      <c r="F15" s="469"/>
      <c r="G15" s="470"/>
      <c r="H15" s="471"/>
      <c r="J15" s="478"/>
      <c r="K15" s="479"/>
      <c r="L15" s="480"/>
      <c r="N15" s="460"/>
      <c r="O15" s="462"/>
      <c r="P15" s="4"/>
    </row>
    <row r="16" spans="2:16" x14ac:dyDescent="0.3">
      <c r="B16" s="460"/>
      <c r="C16" s="461"/>
      <c r="D16" s="462"/>
      <c r="F16" s="469"/>
      <c r="G16" s="470"/>
      <c r="H16" s="471"/>
      <c r="J16" s="478"/>
      <c r="K16" s="479"/>
      <c r="L16" s="480"/>
      <c r="N16" s="460"/>
      <c r="O16" s="462"/>
      <c r="P16" s="4"/>
    </row>
    <row r="17" spans="2:16" x14ac:dyDescent="0.3">
      <c r="B17" s="460"/>
      <c r="C17" s="461"/>
      <c r="D17" s="462"/>
      <c r="F17" s="469"/>
      <c r="G17" s="470"/>
      <c r="H17" s="471"/>
      <c r="J17" s="478"/>
      <c r="K17" s="479"/>
      <c r="L17" s="480"/>
      <c r="N17" s="460"/>
      <c r="O17" s="462"/>
      <c r="P17" s="4"/>
    </row>
    <row r="18" spans="2:16" ht="17.100000000000001" customHeight="1" x14ac:dyDescent="0.3">
      <c r="B18" s="460"/>
      <c r="C18" s="461"/>
      <c r="D18" s="462"/>
      <c r="F18" s="469"/>
      <c r="G18" s="470"/>
      <c r="H18" s="471"/>
      <c r="J18" s="478"/>
      <c r="K18" s="479"/>
      <c r="L18" s="480"/>
      <c r="N18" s="460"/>
      <c r="O18" s="462"/>
      <c r="P18" s="4"/>
    </row>
    <row r="19" spans="2:16" ht="15.6" customHeight="1" x14ac:dyDescent="0.3">
      <c r="B19" s="460"/>
      <c r="C19" s="461"/>
      <c r="D19" s="462"/>
      <c r="F19" s="469"/>
      <c r="G19" s="470"/>
      <c r="H19" s="471"/>
      <c r="J19" s="478"/>
      <c r="K19" s="479"/>
      <c r="L19" s="480"/>
      <c r="N19" s="460"/>
      <c r="O19" s="462"/>
    </row>
    <row r="20" spans="2:16" x14ac:dyDescent="0.3">
      <c r="B20" s="460"/>
      <c r="C20" s="461"/>
      <c r="D20" s="462"/>
      <c r="F20" s="469"/>
      <c r="G20" s="470"/>
      <c r="H20" s="471"/>
      <c r="J20" s="478"/>
      <c r="K20" s="479"/>
      <c r="L20" s="480"/>
      <c r="N20" s="460"/>
      <c r="O20" s="462"/>
    </row>
    <row r="21" spans="2:16" x14ac:dyDescent="0.3">
      <c r="B21" s="460"/>
      <c r="C21" s="461"/>
      <c r="D21" s="462"/>
      <c r="F21" s="469"/>
      <c r="G21" s="470"/>
      <c r="H21" s="471"/>
      <c r="J21" s="478"/>
      <c r="K21" s="479"/>
      <c r="L21" s="480"/>
      <c r="N21" s="460"/>
      <c r="O21" s="462"/>
    </row>
    <row r="22" spans="2:16" x14ac:dyDescent="0.3">
      <c r="B22" s="460"/>
      <c r="C22" s="461"/>
      <c r="D22" s="462"/>
      <c r="F22" s="469"/>
      <c r="G22" s="470"/>
      <c r="H22" s="471"/>
      <c r="J22" s="478"/>
      <c r="K22" s="479"/>
      <c r="L22" s="480"/>
      <c r="N22" s="460"/>
      <c r="O22" s="462"/>
    </row>
    <row r="23" spans="2:16" ht="16.2" thickBot="1" x14ac:dyDescent="0.35">
      <c r="B23" s="463"/>
      <c r="C23" s="464"/>
      <c r="D23" s="465"/>
      <c r="F23" s="472"/>
      <c r="G23" s="473"/>
      <c r="H23" s="474"/>
      <c r="J23" s="481"/>
      <c r="K23" s="482"/>
      <c r="L23" s="483"/>
      <c r="N23" s="463"/>
      <c r="O23" s="465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2024-04-12T16:18:38Z</dcterms:modified>
  <cp:category/>
  <cp:contentStatus/>
</cp:coreProperties>
</file>