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lbordeaux-my.sharepoint.com/personal/etrocin_tailored-finance_fr/Documents/Bureau/clients 20112023/"/>
    </mc:Choice>
  </mc:AlternateContent>
  <xr:revisionPtr revIDLastSave="2" documentId="8_{A63F3558-118C-4176-B0EE-2896C84FC95B}" xr6:coauthVersionLast="47" xr6:coauthVersionMax="47" xr10:uidLastSave="{0488FE40-CFCF-4741-A888-28E6D6853A25}"/>
  <bookViews>
    <workbookView xWindow="-108" yWindow="-108" windowWidth="23256" windowHeight="12576" tabRatio="912" firstSheet="1" activeTab="3" xr2:uid="{FB0DA232-55AE-3F44-89A3-B4A5CFA2BC78}"/>
  </bookViews>
  <sheets>
    <sheet name="Tutoriel" sheetId="12" state="hidden" r:id="rId1"/>
    <sheet name="Présentation" sheetId="3" r:id="rId2"/>
    <sheet name="Etat Civil" sheetId="1" r:id="rId3"/>
    <sheet name="Situation Patrimoniale" sheetId="4" r:id="rId4"/>
    <sheet name="Prévision retraite" sheetId="10" r:id="rId5"/>
    <sheet name="Patrimoine social" sheetId="18" r:id="rId6"/>
    <sheet name="Patrimoine financiers" sheetId="5" state="hidden" r:id="rId7"/>
    <sheet name="Principaux objectifs" sheetId="6" r:id="rId8"/>
    <sheet name="Axes de travail" sheetId="7" state="hidden" r:id="rId9"/>
    <sheet name="Les points forts" sheetId="8" r:id="rId10"/>
    <sheet name="Calcul IR 2" sheetId="13" state="hidden" r:id="rId11"/>
    <sheet name="Impôt 2021 revenus 2020" sheetId="14" r:id="rId12"/>
    <sheet name="Calcul IR Bis Retraite" sheetId="15" state="hidden" r:id="rId13"/>
    <sheet name="Impôt Retraite" sheetId="16" state="hidden" r:id="rId14"/>
  </sheet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4" l="1"/>
  <c r="H13" i="1"/>
  <c r="D55" i="4"/>
  <c r="I32" i="4" l="1"/>
  <c r="E8" i="10" l="1"/>
  <c r="D53" i="4" l="1"/>
  <c r="E15" i="10"/>
  <c r="E16" i="10"/>
  <c r="E17" i="10"/>
  <c r="E14" i="10"/>
  <c r="F22" i="10" l="1"/>
  <c r="F32" i="4" l="1"/>
  <c r="I30" i="4"/>
  <c r="H14" i="1"/>
  <c r="H9" i="1"/>
  <c r="I15" i="4"/>
  <c r="C4" i="14" l="1"/>
  <c r="C3" i="14" l="1"/>
  <c r="O30" i="13" s="1"/>
  <c r="E8" i="13" l="1"/>
  <c r="E7" i="13" l="1"/>
  <c r="G26" i="1" l="1"/>
  <c r="J4" i="15" l="1"/>
  <c r="C5" i="16"/>
  <c r="I13" i="15" s="1"/>
  <c r="C3" i="16"/>
  <c r="C37" i="15"/>
  <c r="E37" i="15" s="1"/>
  <c r="B37" i="15"/>
  <c r="C36" i="15"/>
  <c r="E36" i="15" s="1"/>
  <c r="B36" i="15"/>
  <c r="R35" i="15"/>
  <c r="O35" i="15"/>
  <c r="O34" i="15"/>
  <c r="C34" i="15"/>
  <c r="E34" i="15" s="1"/>
  <c r="B34" i="15"/>
  <c r="C33" i="15"/>
  <c r="B33" i="15"/>
  <c r="D29" i="15"/>
  <c r="D27" i="15"/>
  <c r="D26" i="15"/>
  <c r="E25" i="15"/>
  <c r="D25" i="15"/>
  <c r="A19" i="15"/>
  <c r="D9" i="15"/>
  <c r="E8" i="15"/>
  <c r="E7" i="15"/>
  <c r="F7" i="15" s="1"/>
  <c r="D7" i="15"/>
  <c r="E6" i="15"/>
  <c r="F8" i="15" s="1"/>
  <c r="D6" i="15"/>
  <c r="E5" i="15"/>
  <c r="D5" i="15"/>
  <c r="O30" i="15" l="1"/>
  <c r="C10" i="16" s="1"/>
  <c r="I36" i="15" s="1"/>
  <c r="I35" i="15"/>
  <c r="F36" i="15"/>
  <c r="F37" i="15"/>
  <c r="I14" i="15"/>
  <c r="I15" i="15"/>
  <c r="I16" i="15" l="1"/>
  <c r="B27" i="15"/>
  <c r="C27" i="15"/>
  <c r="C25" i="15"/>
  <c r="C28" i="15"/>
  <c r="B26" i="15"/>
  <c r="B28" i="15"/>
  <c r="C26" i="15"/>
  <c r="E26" i="15" l="1"/>
  <c r="E27" i="15"/>
  <c r="E28" i="15"/>
  <c r="F27" i="15" l="1"/>
  <c r="F28" i="15"/>
  <c r="C5" i="14" l="1"/>
  <c r="C10" i="14" l="1"/>
  <c r="J4" i="13" s="1"/>
  <c r="I35" i="13"/>
  <c r="I13" i="13"/>
  <c r="I15" i="13"/>
  <c r="I14" i="13"/>
  <c r="C37" i="13"/>
  <c r="B37" i="13"/>
  <c r="C36" i="13"/>
  <c r="B36" i="13"/>
  <c r="R35" i="13"/>
  <c r="O35" i="13"/>
  <c r="O34" i="13"/>
  <c r="C34" i="13"/>
  <c r="B34" i="13"/>
  <c r="C33" i="13"/>
  <c r="B33" i="13"/>
  <c r="D29" i="13"/>
  <c r="D27" i="13"/>
  <c r="E25" i="13"/>
  <c r="D25" i="13"/>
  <c r="A19" i="13"/>
  <c r="D9" i="13"/>
  <c r="D7" i="13"/>
  <c r="E6" i="13"/>
  <c r="E5" i="13"/>
  <c r="D5" i="13"/>
  <c r="I16" i="13" l="1"/>
  <c r="I36" i="13"/>
  <c r="E34" i="13"/>
  <c r="E37" i="13"/>
  <c r="E36" i="13"/>
  <c r="F8" i="13"/>
  <c r="F7" i="13"/>
  <c r="H8" i="1"/>
  <c r="H20" i="1" s="1"/>
  <c r="D32" i="4" l="1"/>
  <c r="J3" i="15"/>
  <c r="D22" i="10"/>
  <c r="J3" i="13"/>
  <c r="I10" i="13" s="1"/>
  <c r="F36" i="13"/>
  <c r="F37" i="13"/>
  <c r="C8" i="14" l="1"/>
  <c r="G24" i="1" s="1"/>
  <c r="I33" i="13"/>
  <c r="H19" i="1" l="1"/>
  <c r="I25" i="5" l="1"/>
  <c r="I19" i="5"/>
  <c r="I12" i="5"/>
  <c r="I28" i="5" l="1"/>
  <c r="I37" i="13" l="1"/>
  <c r="B27" i="13"/>
  <c r="B28" i="13"/>
  <c r="C25" i="13"/>
  <c r="C27" i="13"/>
  <c r="I17" i="13"/>
  <c r="C28" i="13"/>
  <c r="B26" i="13"/>
  <c r="C26" i="13"/>
  <c r="E27" i="13" l="1"/>
  <c r="E26" i="13"/>
  <c r="E28" i="13"/>
  <c r="I34" i="13" l="1"/>
  <c r="I39" i="13" s="1"/>
  <c r="I11" i="13"/>
  <c r="I20" i="13" s="1"/>
  <c r="F27" i="13"/>
  <c r="F28" i="13"/>
  <c r="C12" i="14" l="1"/>
  <c r="I40" i="13"/>
  <c r="I41" i="13" s="1"/>
  <c r="I21" i="13"/>
  <c r="C13" i="14" s="1"/>
  <c r="I22" i="13" l="1"/>
  <c r="C14" i="14" l="1"/>
  <c r="D14" i="14" s="1"/>
  <c r="G25" i="1" s="1"/>
  <c r="C30" i="10" l="1"/>
  <c r="I10" i="15"/>
  <c r="I17" i="15" s="1"/>
  <c r="I33" i="15"/>
  <c r="I37" i="15" s="1"/>
  <c r="I34" i="15"/>
  <c r="I11" i="15"/>
  <c r="C8" i="16"/>
  <c r="I20" i="15" l="1"/>
  <c r="I39" i="15"/>
  <c r="I40" i="15" l="1"/>
  <c r="C12" i="16"/>
  <c r="I21" i="15"/>
  <c r="I41" i="15" l="1"/>
  <c r="C13" i="16"/>
  <c r="I22" i="15"/>
  <c r="C14" i="16" l="1"/>
  <c r="D14" i="16" s="1"/>
  <c r="E22" i="10" l="1"/>
  <c r="E24" i="10" s="1"/>
  <c r="E25" i="10" s="1"/>
  <c r="F25" i="10" s="1"/>
  <c r="F24" i="10" l="1"/>
</calcChain>
</file>

<file path=xl/sharedStrings.xml><?xml version="1.0" encoding="utf-8"?>
<sst xmlns="http://schemas.openxmlformats.org/spreadsheetml/2006/main" count="345" uniqueCount="232">
  <si>
    <t>AUDIT PATRIMONIAL</t>
  </si>
  <si>
    <t>20/09/21</t>
  </si>
  <si>
    <t xml:space="preserve">GESTION PRIVÉ </t>
  </si>
  <si>
    <t>&amp;</t>
  </si>
  <si>
    <t>PERSONAL FINANCE</t>
  </si>
  <si>
    <t>ETAT CIVIL</t>
  </si>
  <si>
    <t>RÉMUNÉRATION</t>
  </si>
  <si>
    <t>M.</t>
  </si>
  <si>
    <t>LE CORRE Yannis</t>
  </si>
  <si>
    <t>Origine</t>
  </si>
  <si>
    <t>Brut</t>
  </si>
  <si>
    <t>Net</t>
  </si>
  <si>
    <t>Foncier</t>
  </si>
  <si>
    <t>Date de naissance</t>
  </si>
  <si>
    <t>26 ans</t>
  </si>
  <si>
    <t>Salaires</t>
  </si>
  <si>
    <t>Micro-Foncier</t>
  </si>
  <si>
    <t>Profession et société</t>
  </si>
  <si>
    <t>Ingénieur aéronautique / Safran</t>
  </si>
  <si>
    <t>Dividendes</t>
  </si>
  <si>
    <t>Type de contrat/Ancienneté</t>
  </si>
  <si>
    <t>CDI / 4 ans</t>
  </si>
  <si>
    <t>BNC</t>
  </si>
  <si>
    <t>Mme.</t>
  </si>
  <si>
    <t>AVELINE Chloé</t>
  </si>
  <si>
    <t>27 ans</t>
  </si>
  <si>
    <t>CDI / 2 ans</t>
  </si>
  <si>
    <t xml:space="preserve">Situation maritale </t>
  </si>
  <si>
    <t>Marié-Pacsé</t>
  </si>
  <si>
    <t>Autres revenus</t>
  </si>
  <si>
    <t>Loyers</t>
  </si>
  <si>
    <t>B/D foncier</t>
  </si>
  <si>
    <t xml:space="preserve">Régime matrimonial </t>
  </si>
  <si>
    <t>Régime Légal du PACS</t>
  </si>
  <si>
    <t>Situation particulière</t>
  </si>
  <si>
    <t>LMNP</t>
  </si>
  <si>
    <t>Garde</t>
  </si>
  <si>
    <t>REVENUS NETS |</t>
  </si>
  <si>
    <t>ENFANTS</t>
  </si>
  <si>
    <t>IMPOSITION</t>
  </si>
  <si>
    <t>Prénoms</t>
  </si>
  <si>
    <t>Age</t>
  </si>
  <si>
    <t>Commentaire</t>
  </si>
  <si>
    <t>RIG</t>
  </si>
  <si>
    <t>TMI</t>
  </si>
  <si>
    <t>Impôt sur le revenu</t>
  </si>
  <si>
    <t>Impôt social foncier</t>
  </si>
  <si>
    <t>Déductions fiscales</t>
  </si>
  <si>
    <t>Réductions d'impôts</t>
  </si>
  <si>
    <t>Enfants à charge</t>
  </si>
  <si>
    <t>Crédits d'impot</t>
  </si>
  <si>
    <t>Estimations sur la base de vos assertions</t>
  </si>
  <si>
    <t>Complète</t>
  </si>
  <si>
    <t>Alternée</t>
  </si>
  <si>
    <t>Régime légal : Communauté réduite aux acquets</t>
  </si>
  <si>
    <t>SI(ET(C17="Marié-Pacsé";'Calcul IR 2'!I39='Calcul IR 2'!I37);SI('Calcul IR 2'!J3&gt;='Calcul IR 2'!C37;'Calcul IR 2'!D38;SI('Calcul IR 2'!J23&gt;='Calcul IR 2'!C36;'Calcul IR 2'!D37;SI('Calcul IR 2'!J3&gt;='Calcul IR 2'!C35;'Calcul IR 2'!D36;SI('Calcul IR 2'!J3&gt;='Calcul IR 2'!C33;'Calcul IR 2'!D34;0%))));SI(ET(C17="Célibataire-Divorcé-Veuf";'Calcul IR 2'!I20='Calcul IR 2'!I17);SI('Calcul IR 2'!J3&gt;='Calcul IR 2'!C8;'Calcul IR 2'!D9;SI('Calcul IR 2'!J3&gt;='Calcul IR 2'!C7;'Calcul IR 2'!D8;SI('Calcul IR 2'!J3&gt;='Calcul IR 2'!C6;'Calcul IR 2'!D7;SI('Calcul IR 2'!J3&gt;='Calcul IR 2'!C5;'Calcul IR 2'!D6;0%))));SI('Calcul IR 2'!J3&gt;='Calcul IR 2'!C28;'Calcul IR 2'!D29;SI('Calcul IR 2'!J23&gt;='Calcul IR 2'!C27;'Calcul IR 2'!D28;SI('Calcul IR 2'!J3&gt;='Calcul IR 2'!C26;'Calcul IR 2'!D27;SI('Calcul IR 2'!J3&gt;='Calcul IR 2'!C25;'Calcul IR 2'!D26;0%))))))</t>
  </si>
  <si>
    <t>Communauté universelle</t>
  </si>
  <si>
    <t>Ci-dessus : formule correcte de détermination de la TMI</t>
  </si>
  <si>
    <t>Séparation de biens</t>
  </si>
  <si>
    <t>Séparation avec Sté d'acquêt</t>
  </si>
  <si>
    <t>Séparation avec Part aux acquêts</t>
  </si>
  <si>
    <t>Indivision Pacsale</t>
  </si>
  <si>
    <t>SITUATION PATRIMONIALE</t>
  </si>
  <si>
    <t>PATRIMOINE IMMOBILIER</t>
  </si>
  <si>
    <t>Résidence Principale</t>
  </si>
  <si>
    <t>Localisation</t>
  </si>
  <si>
    <t>Valeur</t>
  </si>
  <si>
    <t>Emprunt rest.</t>
  </si>
  <si>
    <t>Date fin</t>
  </si>
  <si>
    <t>Mensualité ou Loyer payé</t>
  </si>
  <si>
    <t>Malakoff</t>
  </si>
  <si>
    <t>AUTRE BIENS</t>
  </si>
  <si>
    <t xml:space="preserve">Biens </t>
  </si>
  <si>
    <t xml:space="preserve">Valeur d'achat </t>
  </si>
  <si>
    <t xml:space="preserve">Valeur actuelle </t>
  </si>
  <si>
    <t>Mensualité</t>
  </si>
  <si>
    <t>Loyer</t>
  </si>
  <si>
    <t>Rapport locatif</t>
  </si>
  <si>
    <t>AUTRE EMPRUNTS</t>
  </si>
  <si>
    <t>Destination</t>
  </si>
  <si>
    <t>Taux</t>
  </si>
  <si>
    <t>PROJETS</t>
  </si>
  <si>
    <t>Type</t>
  </si>
  <si>
    <t>Valeur d'achat</t>
  </si>
  <si>
    <t>Emprunt</t>
  </si>
  <si>
    <t>TAUX D'ENDETTEMENT ACTUEL</t>
  </si>
  <si>
    <t>PATRIMOINE FINANCIER</t>
  </si>
  <si>
    <t>NOM</t>
  </si>
  <si>
    <t>Rentabilité</t>
  </si>
  <si>
    <t>Risque (1-7)</t>
  </si>
  <si>
    <t>Disponible</t>
  </si>
  <si>
    <t>Gestionnaire</t>
  </si>
  <si>
    <t>Gestion</t>
  </si>
  <si>
    <t>Objectif</t>
  </si>
  <si>
    <t>Placements financiers</t>
  </si>
  <si>
    <t>Livrets + CC (Total)</t>
  </si>
  <si>
    <t>AV (Chloé)</t>
  </si>
  <si>
    <t>C.E.</t>
  </si>
  <si>
    <t>Sous Mandat</t>
  </si>
  <si>
    <t>PEE (Chloé)</t>
  </si>
  <si>
    <t>PEE/PERCO (Yannis)</t>
  </si>
  <si>
    <t>Liquidités</t>
  </si>
  <si>
    <t>Autres</t>
  </si>
  <si>
    <t>CAPACITE INVESTISSEMENT CASH</t>
  </si>
  <si>
    <t>TOTAL PATRIMOINE</t>
  </si>
  <si>
    <t>PREVISION A LA RETRAITE</t>
  </si>
  <si>
    <t>Charges</t>
  </si>
  <si>
    <t>Loyer payé</t>
  </si>
  <si>
    <t>Nantes</t>
  </si>
  <si>
    <t>Bien</t>
  </si>
  <si>
    <t>Loyer perçu</t>
  </si>
  <si>
    <t>SITUATION FINANCIERE</t>
  </si>
  <si>
    <t>Coef remplacement</t>
  </si>
  <si>
    <t>Parts Fiscales</t>
  </si>
  <si>
    <t xml:space="preserve">Revenus Nets </t>
  </si>
  <si>
    <t>Impôt</t>
  </si>
  <si>
    <t>Charges existantes</t>
  </si>
  <si>
    <t>Train de vie à la retraite</t>
  </si>
  <si>
    <t>Différence avec le train de vie actuel</t>
  </si>
  <si>
    <t>Calcul TDV</t>
  </si>
  <si>
    <t>PATRIMOINE SOCIAL</t>
  </si>
  <si>
    <t>SCI</t>
  </si>
  <si>
    <t>Montant du prêt</t>
  </si>
  <si>
    <t>Date début</t>
  </si>
  <si>
    <t>Rapport locatif Brut</t>
  </si>
  <si>
    <t>Valorisation</t>
  </si>
  <si>
    <t>SASU</t>
  </si>
  <si>
    <t>Dénomination</t>
  </si>
  <si>
    <t xml:space="preserve">Risque </t>
  </si>
  <si>
    <t>Type de Gestion</t>
  </si>
  <si>
    <t>Total</t>
  </si>
  <si>
    <t>Compte Courant</t>
  </si>
  <si>
    <t>Livret A</t>
  </si>
  <si>
    <t>Assurance-vie</t>
  </si>
  <si>
    <t>Variable</t>
  </si>
  <si>
    <t>?</t>
  </si>
  <si>
    <t>UFI France</t>
  </si>
  <si>
    <t>SCPI PRIMONIAL</t>
  </si>
  <si>
    <t>PER</t>
  </si>
  <si>
    <t>SWISSLIFE</t>
  </si>
  <si>
    <t>Total disponible</t>
  </si>
  <si>
    <t>Capacité d'investissement</t>
  </si>
  <si>
    <t>Libre</t>
  </si>
  <si>
    <t>PRINCIPAUX OBJECTIFS</t>
  </si>
  <si>
    <t>EFFORT D'EPARGNE MENSUEL</t>
  </si>
  <si>
    <t>OBJECTIFS</t>
  </si>
  <si>
    <t>Types</t>
  </si>
  <si>
    <t>Montant nécéssaire</t>
  </si>
  <si>
    <t>Durée restante</t>
  </si>
  <si>
    <t>Dynamiser</t>
  </si>
  <si>
    <t>LT</t>
  </si>
  <si>
    <t>Dynamiser l'épargne mensuelle croissante pour créer du capital de la manière la plus efficace possible</t>
  </si>
  <si>
    <t>Réduire</t>
  </si>
  <si>
    <t>CT</t>
  </si>
  <si>
    <t xml:space="preserve">Réduire l'imposition sur le court terme </t>
  </si>
  <si>
    <t>PRINCIPALES ÉCHÉANCES FINANCIÈRES</t>
  </si>
  <si>
    <t>AXES DE TRAVAIL</t>
  </si>
  <si>
    <t>APPROCHE EN EPARGNE MENSUELLE</t>
  </si>
  <si>
    <t>GESTION D'ACTIFS LIQUIDES</t>
  </si>
  <si>
    <t>INGENIERIE PATRIMONIALE</t>
  </si>
  <si>
    <t>CORPORATE FINANCE</t>
  </si>
  <si>
    <t xml:space="preserve">
CRÉATION DE CAPITAL SUR UN HORIZON MOYEN LONG TERME    
EFFET DE LEVIER DU CREDIT</t>
  </si>
  <si>
    <t xml:space="preserve">
VALORISATION DU CAPITAL</t>
  </si>
  <si>
    <t xml:space="preserve">
OPTIMISATION DU PATRIMOINE IMMOBILIER</t>
  </si>
  <si>
    <t xml:space="preserve">
STRUCTURATION DU PATRIMOINE
ANTICIPATION DE LA PLUS VALUE 
ANTICIPATION A LA SUCCESSION</t>
  </si>
  <si>
    <t>LES POINTS FORTS DANS LES CHOIX DE LA SOLUTION</t>
  </si>
  <si>
    <t>Revenus permanents et réguliers pendant encore 20 ans</t>
  </si>
  <si>
    <t>Nécessité d'augmenter rapidement la rentabilité des placements actuels</t>
  </si>
  <si>
    <t xml:space="preserve">Taux d'endettement non utilisé en totalité </t>
  </si>
  <si>
    <t>Capacité d'épargne sur plus de dix ans</t>
  </si>
  <si>
    <t>CELIBATAIRE CONCUBINAGE DIVORCE VEUF</t>
  </si>
  <si>
    <t>TMI 2019 SEUL</t>
  </si>
  <si>
    <t>Revenu net imposable</t>
  </si>
  <si>
    <t>Nombre de part</t>
  </si>
  <si>
    <t>Parent isolé (T)</t>
  </si>
  <si>
    <t>Enfant élevé seul (L)</t>
  </si>
  <si>
    <t>Invalidité</t>
  </si>
  <si>
    <t>Calcul Plafond IR</t>
  </si>
  <si>
    <t>IR une part</t>
  </si>
  <si>
    <t>IR selon parts</t>
  </si>
  <si>
    <t>Case T (parent isolé)</t>
  </si>
  <si>
    <t>Case L (Enfant élevé seul 5A)</t>
  </si>
  <si>
    <t>Handicap/Invalidité</t>
  </si>
  <si>
    <t>PLAFOND DES QUOTIENTS FAMILIAUX</t>
  </si>
  <si>
    <t>Demi-parts au dessus de un</t>
  </si>
  <si>
    <t>Demi-part générale (Plafond 2020)</t>
  </si>
  <si>
    <t>IR plafonné</t>
  </si>
  <si>
    <t>Célibataire-Divorcé-Veuf</t>
  </si>
  <si>
    <t>Personnes seules élevé pendant cinq ans</t>
  </si>
  <si>
    <t>Part entière premier enfant charge si on élève seul</t>
  </si>
  <si>
    <t>Invalidité, combattant</t>
  </si>
  <si>
    <t>Impôt retenu</t>
  </si>
  <si>
    <t>Maintien quotient conjugal veuf</t>
  </si>
  <si>
    <t>Décôte</t>
  </si>
  <si>
    <t>Impôt final</t>
  </si>
  <si>
    <t>TMI 2019 avec parts</t>
  </si>
  <si>
    <t>COUPLE PACS</t>
  </si>
  <si>
    <t>Impot MAX Tranche</t>
  </si>
  <si>
    <t>Plafond impot/tranche</t>
  </si>
  <si>
    <t>IR deux parts</t>
  </si>
  <si>
    <t>Handicap</t>
  </si>
  <si>
    <t>Demi-parts au dessus de deux</t>
  </si>
  <si>
    <t>Simulateur de l'impôt 2020 sur les revenus 2019</t>
  </si>
  <si>
    <t>https://www.corrigetonimpot.fr/</t>
  </si>
  <si>
    <t>Remplir les cases bleues uniquement!</t>
  </si>
  <si>
    <t>Situation familiale</t>
  </si>
  <si>
    <t>Nombre d'enfants à charge</t>
  </si>
  <si>
    <t>La case L et la case T ne sont pas possibles si vous êtes mariés/pacsés. Cliquez ici pour lire notre article expliquant si vous pouvez bénéficiez de l'avantage fiscal pour la case T ou la case L si vous vivez seul.</t>
  </si>
  <si>
    <t>Revenu net imposable (RNI)</t>
  </si>
  <si>
    <t>Le revenu imposable est le revenu après avoir enlevé les déductions ("salaires - 10%/frais réels"; "loyers - abattements"; "dividendes - 40%"...). Ce n'est pas le revenu fiscal de référence. Retrouvez le détail du RNI sur cet article.</t>
  </si>
  <si>
    <t>Nombre de parts</t>
  </si>
  <si>
    <t>Impôt avant décôte</t>
  </si>
  <si>
    <t>Si votre impôt est inférieur à 1 717 € (personne seule) ou 2 842 € (couple), une décote est appliquée avant l'impôt final.</t>
  </si>
  <si>
    <t>Les réductions et crédits d'impôt s'imputeront sur l'impôt final en rouge. Si vous avez un revenu fiscal de référence inférieur à 20 800 € environ (41 400 € pour un couple), un abattement supplémentaire de l'ordre de 20% s'appliquera.</t>
  </si>
  <si>
    <t>CELIBATAIRE DIVORCE VEUF</t>
  </si>
  <si>
    <t>TMI 2019</t>
  </si>
  <si>
    <t>nombre de part</t>
  </si>
  <si>
    <t>Ir une part</t>
  </si>
  <si>
    <t>Plafonnement quotient familial</t>
  </si>
  <si>
    <t>Ir selon parts</t>
  </si>
  <si>
    <t>Case T</t>
  </si>
  <si>
    <t>Case L</t>
  </si>
  <si>
    <t>demi-parts au dessus de un</t>
  </si>
  <si>
    <t>demi-part générale (Plafond 2020)</t>
  </si>
  <si>
    <t>part entière premier enfant charge si on élève seul</t>
  </si>
  <si>
    <t>invalidité, combattant</t>
  </si>
  <si>
    <t>maintien quotient conjugal veuf</t>
  </si>
  <si>
    <t>Ir deux parts</t>
  </si>
  <si>
    <t>demi-parts au dessus de deux</t>
  </si>
  <si>
    <t>Si votre impôt est inférieur à 1 611 € (personne seule) ou 2 653 € (couple), une décote est appliquée avant l'impôt final.</t>
  </si>
  <si>
    <t>IDEX</t>
  </si>
  <si>
    <t>Loc Nantes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</si>
</sst>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\ &quot;€&quot;"/>
    <numFmt numFmtId="165" formatCode="_-* #,##0\ &quot;€&quot;_-;\-* #,##0\ &quot;€&quot;_-;_-* &quot;-&quot;??\ &quot;€&quot;_-;_-@_-"/>
    <numFmt numFmtId="166" formatCode="#,##0.00\ &quot;€&quot;"/>
  </numFmts>
  <fonts count="4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sz val="16"/>
      <color rgb="FFA17B6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213444"/>
      <name val="Calibri"/>
      <family val="2"/>
      <scheme val="minor"/>
    </font>
    <font>
      <i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60"/>
      <color theme="0" tint="-4.9989318521683403E-2"/>
      <name val="Calibri"/>
      <family val="2"/>
      <scheme val="minor"/>
    </font>
    <font>
      <sz val="60"/>
      <color theme="0" tint="-4.9989318521683403E-2"/>
      <name val="Calibri"/>
      <family val="2"/>
      <scheme val="minor"/>
    </font>
    <font>
      <b/>
      <sz val="12"/>
      <color theme="4"/>
      <name val="Calibri"/>
      <family val="2"/>
      <scheme val="minor"/>
    </font>
    <font>
      <i/>
      <sz val="14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DFC341"/>
      <name val="Calibri"/>
      <family val="2"/>
      <scheme val="minor"/>
    </font>
    <font>
      <b/>
      <sz val="22"/>
      <color rgb="FF213444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A17B64"/>
        <bgColor indexed="64"/>
      </patternFill>
    </fill>
    <fill>
      <patternFill patternType="solid">
        <fgColor rgb="FF8393BA"/>
        <bgColor indexed="64"/>
      </patternFill>
    </fill>
    <fill>
      <patternFill patternType="solid">
        <fgColor rgb="FF2134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FC34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531">
    <xf numFmtId="0" fontId="0" fillId="0" borderId="0" xfId="0"/>
    <xf numFmtId="0" fontId="4" fillId="0" borderId="0" xfId="0" applyFont="1"/>
    <xf numFmtId="0" fontId="3" fillId="3" borderId="6" xfId="0" applyFont="1" applyFill="1" applyBorder="1"/>
    <xf numFmtId="0" fontId="3" fillId="3" borderId="9" xfId="0" applyFont="1" applyFill="1" applyBorder="1"/>
    <xf numFmtId="0" fontId="0" fillId="0" borderId="0" xfId="0" applyAlignment="1">
      <alignment horizontal="center" vertical="center"/>
    </xf>
    <xf numFmtId="44" fontId="0" fillId="0" borderId="0" xfId="1" applyFont="1"/>
    <xf numFmtId="0" fontId="0" fillId="9" borderId="0" xfId="0" applyFill="1"/>
    <xf numFmtId="44" fontId="0" fillId="0" borderId="0" xfId="1" applyFont="1" applyBorder="1"/>
    <xf numFmtId="44" fontId="0" fillId="0" borderId="0" xfId="1" applyFont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5" fillId="0" borderId="0" xfId="0" applyFont="1"/>
    <xf numFmtId="44" fontId="3" fillId="2" borderId="30" xfId="1" applyFont="1" applyFill="1" applyBorder="1" applyAlignment="1">
      <alignment horizontal="center"/>
    </xf>
    <xf numFmtId="44" fontId="3" fillId="2" borderId="29" xfId="1" applyFont="1" applyFill="1" applyBorder="1" applyAlignment="1">
      <alignment horizontal="center"/>
    </xf>
    <xf numFmtId="44" fontId="3" fillId="2" borderId="31" xfId="1" applyFont="1" applyFill="1" applyBorder="1" applyAlignment="1">
      <alignment horizontal="center"/>
    </xf>
    <xf numFmtId="44" fontId="3" fillId="2" borderId="4" xfId="1" applyFont="1" applyFill="1" applyBorder="1" applyAlignment="1">
      <alignment horizontal="center" vertical="center"/>
    </xf>
    <xf numFmtId="0" fontId="6" fillId="0" borderId="0" xfId="0" applyFont="1"/>
    <xf numFmtId="49" fontId="0" fillId="0" borderId="0" xfId="0" applyNumberFormat="1"/>
    <xf numFmtId="0" fontId="4" fillId="0" borderId="11" xfId="0" applyFont="1" applyBorder="1"/>
    <xf numFmtId="44" fontId="0" fillId="7" borderId="12" xfId="1" applyFont="1" applyFill="1" applyBorder="1"/>
    <xf numFmtId="44" fontId="0" fillId="6" borderId="12" xfId="1" applyFont="1" applyFill="1" applyBorder="1" applyProtection="1">
      <protection locked="0"/>
    </xf>
    <xf numFmtId="44" fontId="0" fillId="6" borderId="1" xfId="1" applyFont="1" applyFill="1" applyBorder="1" applyProtection="1">
      <protection locked="0"/>
    </xf>
    <xf numFmtId="0" fontId="11" fillId="0" borderId="0" xfId="3" applyFont="1" applyProtection="1">
      <protection hidden="1"/>
    </xf>
    <xf numFmtId="9" fontId="11" fillId="0" borderId="0" xfId="4" applyFont="1" applyFill="1" applyProtection="1">
      <protection hidden="1"/>
    </xf>
    <xf numFmtId="1" fontId="11" fillId="0" borderId="0" xfId="3" applyNumberFormat="1" applyFont="1" applyProtection="1">
      <protection hidden="1"/>
    </xf>
    <xf numFmtId="0" fontId="1" fillId="10" borderId="0" xfId="5" applyFill="1" applyProtection="1">
      <protection hidden="1"/>
    </xf>
    <xf numFmtId="0" fontId="1" fillId="10" borderId="17" xfId="5" applyFill="1" applyBorder="1" applyProtection="1">
      <protection hidden="1"/>
    </xf>
    <xf numFmtId="0" fontId="22" fillId="10" borderId="17" xfId="5" applyFont="1" applyFill="1" applyBorder="1" applyAlignment="1" applyProtection="1">
      <alignment horizontal="left" vertical="center"/>
      <protection hidden="1"/>
    </xf>
    <xf numFmtId="0" fontId="1" fillId="10" borderId="0" xfId="5" applyFill="1" applyAlignment="1" applyProtection="1">
      <alignment horizontal="left" vertical="center"/>
      <protection hidden="1"/>
    </xf>
    <xf numFmtId="0" fontId="23" fillId="11" borderId="1" xfId="5" applyFont="1" applyFill="1" applyBorder="1" applyAlignment="1" applyProtection="1">
      <alignment horizontal="center" vertical="center"/>
      <protection locked="0" hidden="1"/>
    </xf>
    <xf numFmtId="0" fontId="1" fillId="10" borderId="18" xfId="5" applyFill="1" applyBorder="1" applyProtection="1">
      <protection hidden="1"/>
    </xf>
    <xf numFmtId="0" fontId="23" fillId="11" borderId="44" xfId="5" applyFont="1" applyFill="1" applyBorder="1" applyAlignment="1" applyProtection="1">
      <alignment horizontal="center" vertical="center"/>
      <protection locked="0" hidden="1"/>
    </xf>
    <xf numFmtId="0" fontId="23" fillId="10" borderId="0" xfId="5" applyFont="1" applyFill="1" applyAlignment="1" applyProtection="1">
      <alignment horizontal="center" vertical="center"/>
      <protection hidden="1"/>
    </xf>
    <xf numFmtId="0" fontId="10" fillId="10" borderId="17" xfId="5" applyFont="1" applyFill="1" applyBorder="1" applyAlignment="1" applyProtection="1">
      <alignment horizontal="left" vertical="center"/>
      <protection hidden="1"/>
    </xf>
    <xf numFmtId="0" fontId="1" fillId="10" borderId="0" xfId="5" applyFill="1" applyAlignment="1" applyProtection="1">
      <alignment horizontal="center" vertical="center"/>
      <protection hidden="1"/>
    </xf>
    <xf numFmtId="0" fontId="12" fillId="10" borderId="17" xfId="5" applyFont="1" applyFill="1" applyBorder="1" applyAlignment="1" applyProtection="1">
      <alignment horizontal="left" vertical="center"/>
      <protection hidden="1"/>
    </xf>
    <xf numFmtId="0" fontId="24" fillId="10" borderId="0" xfId="5" applyFont="1" applyFill="1" applyAlignment="1" applyProtection="1">
      <alignment horizontal="left" vertical="center"/>
      <protection hidden="1"/>
    </xf>
    <xf numFmtId="0" fontId="12" fillId="10" borderId="0" xfId="5" applyFont="1" applyFill="1" applyAlignment="1" applyProtection="1">
      <alignment horizontal="center" vertical="center"/>
      <protection hidden="1"/>
    </xf>
    <xf numFmtId="0" fontId="25" fillId="10" borderId="17" xfId="5" applyFont="1" applyFill="1" applyBorder="1" applyAlignment="1" applyProtection="1">
      <alignment horizontal="left" vertical="center"/>
      <protection hidden="1"/>
    </xf>
    <xf numFmtId="0" fontId="25" fillId="10" borderId="0" xfId="5" applyFont="1" applyFill="1" applyAlignment="1" applyProtection="1">
      <alignment horizontal="left" vertical="center"/>
      <protection hidden="1"/>
    </xf>
    <xf numFmtId="0" fontId="27" fillId="10" borderId="17" xfId="5" applyFont="1" applyFill="1" applyBorder="1" applyAlignment="1" applyProtection="1">
      <alignment horizontal="left" vertical="center"/>
      <protection hidden="1"/>
    </xf>
    <xf numFmtId="0" fontId="27" fillId="10" borderId="0" xfId="5" applyFont="1" applyFill="1" applyAlignment="1" applyProtection="1">
      <alignment horizontal="left" vertical="center"/>
      <protection hidden="1"/>
    </xf>
    <xf numFmtId="164" fontId="27" fillId="10" borderId="0" xfId="5" applyNumberFormat="1" applyFont="1" applyFill="1" applyAlignment="1" applyProtection="1">
      <alignment horizontal="center" vertical="center"/>
      <protection hidden="1"/>
    </xf>
    <xf numFmtId="0" fontId="1" fillId="10" borderId="19" xfId="5" applyFill="1" applyBorder="1" applyProtection="1">
      <protection hidden="1"/>
    </xf>
    <xf numFmtId="0" fontId="1" fillId="10" borderId="20" xfId="5" applyFill="1" applyBorder="1" applyProtection="1">
      <protection hidden="1"/>
    </xf>
    <xf numFmtId="0" fontId="1" fillId="10" borderId="21" xfId="5" applyFill="1" applyBorder="1" applyProtection="1">
      <protection hidden="1"/>
    </xf>
    <xf numFmtId="44" fontId="25" fillId="10" borderId="0" xfId="1" applyFont="1" applyFill="1" applyAlignment="1" applyProtection="1">
      <alignment horizontal="center" vertical="center"/>
      <protection hidden="1"/>
    </xf>
    <xf numFmtId="0" fontId="11" fillId="6" borderId="15" xfId="3" applyFont="1" applyFill="1" applyBorder="1" applyProtection="1">
      <protection hidden="1"/>
    </xf>
    <xf numFmtId="0" fontId="11" fillId="6" borderId="16" xfId="3" applyFont="1" applyFill="1" applyBorder="1" applyProtection="1">
      <protection hidden="1"/>
    </xf>
    <xf numFmtId="0" fontId="11" fillId="6" borderId="0" xfId="3" applyFont="1" applyFill="1" applyProtection="1">
      <protection hidden="1"/>
    </xf>
    <xf numFmtId="0" fontId="11" fillId="6" borderId="18" xfId="3" applyFont="1" applyFill="1" applyBorder="1" applyProtection="1">
      <protection hidden="1"/>
    </xf>
    <xf numFmtId="0" fontId="11" fillId="6" borderId="19" xfId="3" applyFont="1" applyFill="1" applyBorder="1" applyProtection="1">
      <protection hidden="1"/>
    </xf>
    <xf numFmtId="0" fontId="11" fillId="6" borderId="20" xfId="3" applyFont="1" applyFill="1" applyBorder="1" applyProtection="1">
      <protection hidden="1"/>
    </xf>
    <xf numFmtId="0" fontId="11" fillId="6" borderId="21" xfId="3" applyFont="1" applyFill="1" applyBorder="1" applyProtection="1">
      <protection hidden="1"/>
    </xf>
    <xf numFmtId="0" fontId="16" fillId="6" borderId="14" xfId="3" applyFont="1" applyFill="1" applyBorder="1" applyProtection="1">
      <protection hidden="1"/>
    </xf>
    <xf numFmtId="0" fontId="16" fillId="6" borderId="17" xfId="3" applyFont="1" applyFill="1" applyBorder="1" applyProtection="1">
      <protection hidden="1"/>
    </xf>
    <xf numFmtId="0" fontId="11" fillId="0" borderId="18" xfId="3" applyFont="1" applyBorder="1" applyProtection="1">
      <protection hidden="1"/>
    </xf>
    <xf numFmtId="165" fontId="11" fillId="0" borderId="0" xfId="1" applyNumberFormat="1" applyFont="1" applyProtection="1">
      <protection hidden="1"/>
    </xf>
    <xf numFmtId="0" fontId="11" fillId="13" borderId="6" xfId="3" applyFont="1" applyFill="1" applyBorder="1" applyProtection="1">
      <protection hidden="1"/>
    </xf>
    <xf numFmtId="0" fontId="11" fillId="13" borderId="7" xfId="3" applyFont="1" applyFill="1" applyBorder="1" applyProtection="1">
      <protection hidden="1"/>
    </xf>
    <xf numFmtId="0" fontId="11" fillId="13" borderId="8" xfId="3" applyFont="1" applyFill="1" applyBorder="1" applyProtection="1">
      <protection hidden="1"/>
    </xf>
    <xf numFmtId="44" fontId="11" fillId="13" borderId="9" xfId="1" applyFont="1" applyFill="1" applyBorder="1" applyProtection="1">
      <protection hidden="1"/>
    </xf>
    <xf numFmtId="44" fontId="11" fillId="13" borderId="1" xfId="1" applyFont="1" applyFill="1" applyBorder="1" applyProtection="1">
      <protection hidden="1"/>
    </xf>
    <xf numFmtId="44" fontId="11" fillId="13" borderId="10" xfId="1" applyFont="1" applyFill="1" applyBorder="1" applyProtection="1">
      <protection hidden="1"/>
    </xf>
    <xf numFmtId="0" fontId="11" fillId="13" borderId="11" xfId="3" applyFont="1" applyFill="1" applyBorder="1" applyProtection="1">
      <protection hidden="1"/>
    </xf>
    <xf numFmtId="0" fontId="11" fillId="13" borderId="12" xfId="3" applyFont="1" applyFill="1" applyBorder="1" applyProtection="1">
      <protection hidden="1"/>
    </xf>
    <xf numFmtId="0" fontId="11" fillId="13" borderId="13" xfId="3" applyFont="1" applyFill="1" applyBorder="1" applyProtection="1">
      <protection hidden="1"/>
    </xf>
    <xf numFmtId="9" fontId="16" fillId="13" borderId="1" xfId="4" applyFont="1" applyFill="1" applyBorder="1" applyAlignment="1" applyProtection="1">
      <alignment horizontal="center" vertical="center"/>
      <protection hidden="1"/>
    </xf>
    <xf numFmtId="9" fontId="16" fillId="13" borderId="12" xfId="4" applyFont="1" applyFill="1" applyBorder="1" applyAlignment="1" applyProtection="1">
      <alignment horizontal="center" vertical="center"/>
      <protection hidden="1"/>
    </xf>
    <xf numFmtId="0" fontId="16" fillId="12" borderId="32" xfId="3" applyFont="1" applyFill="1" applyBorder="1" applyAlignment="1" applyProtection="1">
      <alignment horizontal="center"/>
      <protection hidden="1"/>
    </xf>
    <xf numFmtId="0" fontId="16" fillId="12" borderId="35" xfId="3" applyFont="1" applyFill="1" applyBorder="1" applyAlignment="1" applyProtection="1">
      <alignment horizontal="center"/>
      <protection hidden="1"/>
    </xf>
    <xf numFmtId="44" fontId="11" fillId="13" borderId="6" xfId="1" applyFont="1" applyFill="1" applyBorder="1" applyProtection="1">
      <protection hidden="1"/>
    </xf>
    <xf numFmtId="44" fontId="11" fillId="13" borderId="7" xfId="1" applyFont="1" applyFill="1" applyBorder="1" applyProtection="1">
      <protection hidden="1"/>
    </xf>
    <xf numFmtId="44" fontId="11" fillId="13" borderId="8" xfId="1" applyFont="1" applyFill="1" applyBorder="1" applyProtection="1">
      <protection hidden="1"/>
    </xf>
    <xf numFmtId="9" fontId="16" fillId="13" borderId="7" xfId="4" applyFont="1" applyFill="1" applyBorder="1" applyAlignment="1" applyProtection="1">
      <alignment horizontal="center" vertical="center"/>
      <protection hidden="1"/>
    </xf>
    <xf numFmtId="0" fontId="16" fillId="13" borderId="7" xfId="3" applyFont="1" applyFill="1" applyBorder="1" applyAlignment="1" applyProtection="1">
      <alignment horizontal="center" vertical="center"/>
      <protection hidden="1"/>
    </xf>
    <xf numFmtId="0" fontId="11" fillId="5" borderId="13" xfId="3" applyFont="1" applyFill="1" applyBorder="1" applyProtection="1">
      <protection hidden="1"/>
    </xf>
    <xf numFmtId="0" fontId="11" fillId="5" borderId="22" xfId="3" applyFont="1" applyFill="1" applyBorder="1" applyProtection="1">
      <protection hidden="1"/>
    </xf>
    <xf numFmtId="0" fontId="11" fillId="5" borderId="23" xfId="3" applyFont="1" applyFill="1" applyBorder="1" applyProtection="1">
      <protection hidden="1"/>
    </xf>
    <xf numFmtId="0" fontId="16" fillId="8" borderId="41" xfId="3" applyFont="1" applyFill="1" applyBorder="1" applyAlignment="1" applyProtection="1">
      <alignment horizontal="center" vertical="center"/>
      <protection hidden="1"/>
    </xf>
    <xf numFmtId="0" fontId="16" fillId="8" borderId="46" xfId="3" applyFont="1" applyFill="1" applyBorder="1" applyAlignment="1" applyProtection="1">
      <alignment horizontal="center" vertical="center"/>
      <protection hidden="1"/>
    </xf>
    <xf numFmtId="165" fontId="11" fillId="14" borderId="8" xfId="1" applyNumberFormat="1" applyFont="1" applyFill="1" applyBorder="1" applyProtection="1">
      <protection hidden="1"/>
    </xf>
    <xf numFmtId="165" fontId="11" fillId="14" borderId="10" xfId="1" applyNumberFormat="1" applyFont="1" applyFill="1" applyBorder="1" applyProtection="1">
      <protection hidden="1"/>
    </xf>
    <xf numFmtId="0" fontId="11" fillId="14" borderId="10" xfId="3" applyFont="1" applyFill="1" applyBorder="1" applyProtection="1">
      <protection hidden="1"/>
    </xf>
    <xf numFmtId="165" fontId="11" fillId="14" borderId="13" xfId="1" applyNumberFormat="1" applyFont="1" applyFill="1" applyBorder="1" applyProtection="1">
      <protection hidden="1"/>
    </xf>
    <xf numFmtId="0" fontId="29" fillId="8" borderId="6" xfId="3" applyFont="1" applyFill="1" applyBorder="1" applyAlignment="1" applyProtection="1">
      <alignment horizontal="center" vertical="center"/>
      <protection hidden="1"/>
    </xf>
    <xf numFmtId="0" fontId="29" fillId="8" borderId="9" xfId="3" applyFont="1" applyFill="1" applyBorder="1" applyAlignment="1" applyProtection="1">
      <alignment horizontal="center" vertical="center"/>
      <protection hidden="1"/>
    </xf>
    <xf numFmtId="0" fontId="29" fillId="8" borderId="11" xfId="3" applyFont="1" applyFill="1" applyBorder="1" applyAlignment="1" applyProtection="1">
      <alignment horizontal="center" vertical="center"/>
      <protection hidden="1"/>
    </xf>
    <xf numFmtId="0" fontId="29" fillId="8" borderId="6" xfId="3" applyFont="1" applyFill="1" applyBorder="1" applyAlignment="1" applyProtection="1">
      <alignment horizontal="center"/>
      <protection hidden="1"/>
    </xf>
    <xf numFmtId="0" fontId="29" fillId="8" borderId="9" xfId="3" applyFont="1" applyFill="1" applyBorder="1" applyAlignment="1" applyProtection="1">
      <alignment horizontal="center"/>
      <protection hidden="1"/>
    </xf>
    <xf numFmtId="0" fontId="29" fillId="8" borderId="11" xfId="3" applyFont="1" applyFill="1" applyBorder="1" applyAlignment="1" applyProtection="1">
      <alignment horizontal="center"/>
      <protection hidden="1"/>
    </xf>
    <xf numFmtId="165" fontId="11" fillId="5" borderId="8" xfId="1" applyNumberFormat="1" applyFont="1" applyFill="1" applyBorder="1" applyAlignment="1" applyProtection="1">
      <alignment horizontal="left" indent="1"/>
      <protection hidden="1"/>
    </xf>
    <xf numFmtId="165" fontId="11" fillId="5" borderId="10" xfId="1" applyNumberFormat="1" applyFont="1" applyFill="1" applyBorder="1" applyProtection="1">
      <protection hidden="1"/>
    </xf>
    <xf numFmtId="0" fontId="11" fillId="5" borderId="10" xfId="3" applyFont="1" applyFill="1" applyBorder="1" applyProtection="1">
      <protection hidden="1"/>
    </xf>
    <xf numFmtId="44" fontId="11" fillId="5" borderId="10" xfId="1" applyFont="1" applyFill="1" applyBorder="1" applyProtection="1">
      <protection hidden="1"/>
    </xf>
    <xf numFmtId="165" fontId="11" fillId="5" borderId="13" xfId="1" applyNumberFormat="1" applyFont="1" applyFill="1" applyBorder="1" applyProtection="1">
      <protection hidden="1"/>
    </xf>
    <xf numFmtId="165" fontId="0" fillId="6" borderId="10" xfId="1" applyNumberFormat="1" applyFont="1" applyFill="1" applyBorder="1" applyProtection="1"/>
    <xf numFmtId="0" fontId="0" fillId="6" borderId="6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45" xfId="0" applyFill="1" applyBorder="1" applyProtection="1">
      <protection locked="0"/>
    </xf>
    <xf numFmtId="0" fontId="0" fillId="6" borderId="10" xfId="0" applyFill="1" applyBorder="1" applyProtection="1">
      <protection locked="0"/>
    </xf>
    <xf numFmtId="0" fontId="0" fillId="6" borderId="11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44" fontId="16" fillId="6" borderId="14" xfId="1" applyFont="1" applyFill="1" applyBorder="1" applyProtection="1">
      <protection hidden="1"/>
    </xf>
    <xf numFmtId="44" fontId="16" fillId="6" borderId="17" xfId="1" applyFont="1" applyFill="1" applyBorder="1" applyProtection="1">
      <protection hidden="1"/>
    </xf>
    <xf numFmtId="0" fontId="0" fillId="6" borderId="7" xfId="0" applyFill="1" applyBorder="1" applyAlignment="1" applyProtection="1">
      <alignment horizontal="right"/>
      <protection locked="0"/>
    </xf>
    <xf numFmtId="0" fontId="0" fillId="6" borderId="1" xfId="0" applyFill="1" applyBorder="1" applyProtection="1">
      <protection locked="0"/>
    </xf>
    <xf numFmtId="0" fontId="0" fillId="6" borderId="12" xfId="0" applyFill="1" applyBorder="1" applyProtection="1">
      <protection locked="0"/>
    </xf>
    <xf numFmtId="0" fontId="0" fillId="6" borderId="7" xfId="0" applyFill="1" applyBorder="1" applyProtection="1">
      <protection locked="0"/>
    </xf>
    <xf numFmtId="44" fontId="0" fillId="6" borderId="7" xfId="1" applyFont="1" applyFill="1" applyBorder="1" applyAlignment="1" applyProtection="1">
      <alignment horizontal="center"/>
      <protection locked="0"/>
    </xf>
    <xf numFmtId="44" fontId="0" fillId="6" borderId="8" xfId="1" applyFont="1" applyFill="1" applyBorder="1" applyAlignment="1" applyProtection="1">
      <alignment horizontal="center" vertical="center"/>
      <protection locked="0"/>
    </xf>
    <xf numFmtId="44" fontId="0" fillId="6" borderId="1" xfId="1" applyFont="1" applyFill="1" applyBorder="1" applyAlignment="1" applyProtection="1">
      <alignment horizontal="center"/>
      <protection locked="0"/>
    </xf>
    <xf numFmtId="44" fontId="0" fillId="6" borderId="10" xfId="1" applyFont="1" applyFill="1" applyBorder="1" applyAlignment="1" applyProtection="1">
      <alignment horizontal="center" vertical="center"/>
      <protection locked="0"/>
    </xf>
    <xf numFmtId="44" fontId="0" fillId="6" borderId="12" xfId="1" applyFont="1" applyFill="1" applyBorder="1" applyAlignment="1" applyProtection="1">
      <alignment horizontal="center"/>
      <protection locked="0"/>
    </xf>
    <xf numFmtId="44" fontId="0" fillId="6" borderId="13" xfId="1" applyFont="1" applyFill="1" applyBorder="1" applyAlignment="1" applyProtection="1">
      <alignment horizontal="center" vertical="center"/>
      <protection locked="0"/>
    </xf>
    <xf numFmtId="44" fontId="0" fillId="6" borderId="24" xfId="1" applyFont="1" applyFill="1" applyBorder="1" applyAlignment="1" applyProtection="1">
      <alignment horizontal="center"/>
      <protection locked="0"/>
    </xf>
    <xf numFmtId="44" fontId="0" fillId="6" borderId="2" xfId="1" applyFont="1" applyFill="1" applyBorder="1" applyAlignment="1" applyProtection="1">
      <alignment horizontal="center"/>
      <protection locked="0"/>
    </xf>
    <xf numFmtId="44" fontId="0" fillId="6" borderId="25" xfId="1" applyFont="1" applyFill="1" applyBorder="1" applyAlignment="1" applyProtection="1">
      <alignment horizontal="center"/>
      <protection locked="0"/>
    </xf>
    <xf numFmtId="10" fontId="0" fillId="6" borderId="7" xfId="0" applyNumberFormat="1" applyFill="1" applyBorder="1" applyAlignment="1" applyProtection="1">
      <alignment horizontal="right"/>
      <protection locked="0"/>
    </xf>
    <xf numFmtId="44" fontId="0" fillId="6" borderId="24" xfId="1" applyFon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right"/>
      <protection locked="0"/>
    </xf>
    <xf numFmtId="44" fontId="0" fillId="6" borderId="2" xfId="1" applyFont="1" applyFill="1" applyBorder="1" applyAlignment="1" applyProtection="1">
      <alignment horizontal="center" vertical="center"/>
      <protection locked="0"/>
    </xf>
    <xf numFmtId="0" fontId="0" fillId="6" borderId="37" xfId="0" applyFill="1" applyBorder="1" applyProtection="1">
      <protection locked="0"/>
    </xf>
    <xf numFmtId="0" fontId="0" fillId="6" borderId="33" xfId="0" applyFill="1" applyBorder="1" applyAlignment="1" applyProtection="1">
      <alignment horizontal="right"/>
      <protection locked="0"/>
    </xf>
    <xf numFmtId="0" fontId="0" fillId="6" borderId="33" xfId="0" applyFill="1" applyBorder="1" applyProtection="1">
      <protection locked="0"/>
    </xf>
    <xf numFmtId="44" fontId="0" fillId="6" borderId="38" xfId="1" applyFont="1" applyFill="1" applyBorder="1" applyProtection="1">
      <protection locked="0"/>
    </xf>
    <xf numFmtId="44" fontId="0" fillId="6" borderId="39" xfId="1" applyFont="1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right"/>
      <protection locked="0"/>
    </xf>
    <xf numFmtId="44" fontId="0" fillId="6" borderId="25" xfId="1" applyFont="1" applyFill="1" applyBorder="1" applyAlignment="1" applyProtection="1">
      <alignment horizontal="center" vertical="center"/>
      <protection locked="0"/>
    </xf>
    <xf numFmtId="44" fontId="0" fillId="6" borderId="7" xfId="1" applyFont="1" applyFill="1" applyBorder="1" applyAlignment="1" applyProtection="1">
      <alignment horizontal="center" vertical="center"/>
      <protection locked="0"/>
    </xf>
    <xf numFmtId="44" fontId="0" fillId="6" borderId="1" xfId="1" applyFont="1" applyFill="1" applyBorder="1" applyAlignment="1" applyProtection="1">
      <alignment horizontal="center" vertical="center"/>
      <protection locked="0"/>
    </xf>
    <xf numFmtId="44" fontId="0" fillId="6" borderId="12" xfId="1" applyFont="1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 wrapText="1"/>
      <protection locked="0"/>
    </xf>
    <xf numFmtId="0" fontId="0" fillId="6" borderId="9" xfId="0" applyFill="1" applyBorder="1" applyAlignment="1" applyProtection="1">
      <alignment horizontal="center" vertical="center" wrapText="1"/>
      <protection locked="0"/>
    </xf>
    <xf numFmtId="0" fontId="0" fillId="6" borderId="11" xfId="0" applyFill="1" applyBorder="1" applyAlignment="1" applyProtection="1">
      <alignment horizontal="center" vertical="center" wrapText="1"/>
      <protection locked="0"/>
    </xf>
    <xf numFmtId="165" fontId="27" fillId="10" borderId="0" xfId="1" applyNumberFormat="1" applyFont="1" applyFill="1" applyAlignment="1" applyProtection="1">
      <alignment horizontal="center" vertical="center"/>
      <protection hidden="1"/>
    </xf>
    <xf numFmtId="165" fontId="25" fillId="10" borderId="0" xfId="1" applyNumberFormat="1" applyFont="1" applyFill="1" applyAlignment="1" applyProtection="1">
      <alignment horizontal="center" vertical="center"/>
      <protection hidden="1"/>
    </xf>
    <xf numFmtId="164" fontId="27" fillId="10" borderId="0" xfId="1" applyNumberFormat="1" applyFont="1" applyFill="1" applyAlignment="1" applyProtection="1">
      <alignment horizontal="center" vertical="center"/>
      <protection hidden="1"/>
    </xf>
    <xf numFmtId="165" fontId="11" fillId="0" borderId="0" xfId="3" applyNumberFormat="1" applyFont="1" applyProtection="1">
      <protection hidden="1"/>
    </xf>
    <xf numFmtId="165" fontId="0" fillId="6" borderId="7" xfId="1" applyNumberFormat="1" applyFont="1" applyFill="1" applyBorder="1" applyProtection="1">
      <protection locked="0"/>
    </xf>
    <xf numFmtId="165" fontId="0" fillId="6" borderId="7" xfId="1" applyNumberFormat="1" applyFont="1" applyFill="1" applyBorder="1" applyProtection="1"/>
    <xf numFmtId="165" fontId="0" fillId="6" borderId="1" xfId="1" applyNumberFormat="1" applyFont="1" applyFill="1" applyBorder="1" applyProtection="1">
      <protection locked="0"/>
    </xf>
    <xf numFmtId="165" fontId="0" fillId="6" borderId="12" xfId="1" applyNumberFormat="1" applyFont="1" applyFill="1" applyBorder="1" applyProtection="1">
      <protection locked="0"/>
    </xf>
    <xf numFmtId="165" fontId="0" fillId="6" borderId="8" xfId="1" applyNumberFormat="1" applyFont="1" applyFill="1" applyBorder="1" applyProtection="1"/>
    <xf numFmtId="165" fontId="0" fillId="6" borderId="10" xfId="1" applyNumberFormat="1" applyFont="1" applyFill="1" applyBorder="1" applyProtection="1">
      <protection locked="0"/>
    </xf>
    <xf numFmtId="165" fontId="0" fillId="6" borderId="33" xfId="1" applyNumberFormat="1" applyFont="1" applyFill="1" applyBorder="1" applyProtection="1">
      <protection locked="0"/>
    </xf>
    <xf numFmtId="9" fontId="4" fillId="9" borderId="17" xfId="2" applyFont="1" applyFill="1" applyBorder="1" applyAlignment="1" applyProtection="1">
      <alignment vertical="center"/>
    </xf>
    <xf numFmtId="0" fontId="0" fillId="9" borderId="0" xfId="0" applyFill="1" applyProtection="1">
      <protection locked="0"/>
    </xf>
    <xf numFmtId="0" fontId="0" fillId="9" borderId="0" xfId="0" applyFill="1" applyAlignment="1" applyProtection="1">
      <alignment horizontal="center" vertical="center"/>
      <protection locked="0"/>
    </xf>
    <xf numFmtId="0" fontId="3" fillId="9" borderId="4" xfId="0" applyFont="1" applyFill="1" applyBorder="1"/>
    <xf numFmtId="0" fontId="0" fillId="9" borderId="4" xfId="0" applyFill="1" applyBorder="1" applyAlignment="1" applyProtection="1">
      <alignment horizontal="left"/>
      <protection locked="0"/>
    </xf>
    <xf numFmtId="0" fontId="3" fillId="9" borderId="4" xfId="0" applyFont="1" applyFill="1" applyBorder="1" applyAlignment="1">
      <alignment horizontal="left"/>
    </xf>
    <xf numFmtId="164" fontId="30" fillId="9" borderId="4" xfId="1" applyNumberFormat="1" applyFont="1" applyFill="1" applyBorder="1" applyAlignment="1">
      <alignment horizontal="center" vertical="center"/>
    </xf>
    <xf numFmtId="0" fontId="0" fillId="9" borderId="15" xfId="0" applyFill="1" applyBorder="1" applyAlignment="1" applyProtection="1">
      <alignment horizontal="left"/>
      <protection locked="0"/>
    </xf>
    <xf numFmtId="165" fontId="23" fillId="11" borderId="1" xfId="5" applyNumberFormat="1" applyFont="1" applyFill="1" applyBorder="1" applyAlignment="1" applyProtection="1">
      <alignment horizontal="center" vertical="center"/>
      <protection locked="0" hidden="1"/>
    </xf>
    <xf numFmtId="165" fontId="11" fillId="5" borderId="8" xfId="3" applyNumberFormat="1" applyFont="1" applyFill="1" applyBorder="1" applyProtection="1">
      <protection hidden="1"/>
    </xf>
    <xf numFmtId="164" fontId="32" fillId="4" borderId="5" xfId="1" applyNumberFormat="1" applyFont="1" applyFill="1" applyBorder="1" applyAlignment="1">
      <alignment horizontal="center" vertical="center"/>
    </xf>
    <xf numFmtId="0" fontId="4" fillId="0" borderId="37" xfId="0" applyFont="1" applyBorder="1" applyAlignment="1">
      <alignment horizontal="right" vertical="center"/>
    </xf>
    <xf numFmtId="165" fontId="0" fillId="6" borderId="39" xfId="1" applyNumberFormat="1" applyFont="1" applyFill="1" applyBorder="1" applyProtection="1">
      <protection locked="0"/>
    </xf>
    <xf numFmtId="0" fontId="4" fillId="9" borderId="15" xfId="0" applyFont="1" applyFill="1" applyBorder="1" applyAlignment="1">
      <alignment horizontal="right" vertical="center"/>
    </xf>
    <xf numFmtId="0" fontId="0" fillId="9" borderId="15" xfId="0" applyFill="1" applyBorder="1" applyProtection="1">
      <protection locked="0"/>
    </xf>
    <xf numFmtId="164" fontId="0" fillId="6" borderId="7" xfId="1" applyNumberFormat="1" applyFont="1" applyFill="1" applyBorder="1" applyAlignment="1" applyProtection="1">
      <alignment horizontal="right"/>
      <protection locked="0"/>
    </xf>
    <xf numFmtId="164" fontId="0" fillId="6" borderId="1" xfId="1" applyNumberFormat="1" applyFont="1" applyFill="1" applyBorder="1" applyProtection="1">
      <protection locked="0"/>
    </xf>
    <xf numFmtId="164" fontId="0" fillId="6" borderId="12" xfId="1" applyNumberFormat="1" applyFont="1" applyFill="1" applyBorder="1" applyProtection="1">
      <protection locked="0"/>
    </xf>
    <xf numFmtId="164" fontId="0" fillId="6" borderId="7" xfId="0" applyNumberFormat="1" applyFill="1" applyBorder="1" applyAlignment="1" applyProtection="1">
      <alignment horizontal="right"/>
      <protection locked="0"/>
    </xf>
    <xf numFmtId="164" fontId="0" fillId="6" borderId="1" xfId="0" applyNumberFormat="1" applyFill="1" applyBorder="1" applyProtection="1">
      <protection locked="0"/>
    </xf>
    <xf numFmtId="164" fontId="0" fillId="6" borderId="12" xfId="0" applyNumberFormat="1" applyFill="1" applyBorder="1" applyProtection="1">
      <protection locked="0"/>
    </xf>
    <xf numFmtId="0" fontId="3" fillId="4" borderId="47" xfId="0" applyFont="1" applyFill="1" applyBorder="1" applyAlignment="1">
      <alignment horizontal="center" vertical="center"/>
    </xf>
    <xf numFmtId="0" fontId="33" fillId="4" borderId="48" xfId="0" applyFont="1" applyFill="1" applyBorder="1" applyAlignment="1" applyProtection="1">
      <alignment horizontal="center" vertical="center"/>
      <protection locked="0"/>
    </xf>
    <xf numFmtId="9" fontId="34" fillId="4" borderId="31" xfId="2" applyFont="1" applyFill="1" applyBorder="1" applyAlignment="1" applyProtection="1">
      <alignment horizontal="center" vertical="center"/>
    </xf>
    <xf numFmtId="10" fontId="0" fillId="6" borderId="1" xfId="0" applyNumberFormat="1" applyFill="1" applyBorder="1" applyAlignment="1" applyProtection="1">
      <alignment horizontal="right"/>
      <protection locked="0"/>
    </xf>
    <xf numFmtId="12" fontId="0" fillId="6" borderId="1" xfId="0" applyNumberFormat="1" applyFill="1" applyBorder="1" applyAlignment="1" applyProtection="1">
      <alignment horizontal="right"/>
      <protection locked="0"/>
    </xf>
    <xf numFmtId="0" fontId="3" fillId="3" borderId="11" xfId="0" applyFont="1" applyFill="1" applyBorder="1" applyAlignment="1">
      <alignment vertical="center"/>
    </xf>
    <xf numFmtId="0" fontId="4" fillId="0" borderId="6" xfId="0" applyFont="1" applyBorder="1"/>
    <xf numFmtId="0" fontId="4" fillId="0" borderId="9" xfId="0" applyFont="1" applyBorder="1"/>
    <xf numFmtId="165" fontId="0" fillId="6" borderId="13" xfId="1" applyNumberFormat="1" applyFont="1" applyFill="1" applyBorder="1" applyProtection="1">
      <protection locked="0"/>
    </xf>
    <xf numFmtId="0" fontId="4" fillId="0" borderId="6" xfId="0" applyFont="1" applyBorder="1" applyProtection="1">
      <protection locked="0"/>
    </xf>
    <xf numFmtId="165" fontId="0" fillId="6" borderId="8" xfId="1" applyNumberFormat="1" applyFont="1" applyFill="1" applyBorder="1" applyProtection="1">
      <protection locked="0"/>
    </xf>
    <xf numFmtId="165" fontId="0" fillId="6" borderId="13" xfId="1" applyNumberFormat="1" applyFont="1" applyFill="1" applyBorder="1" applyProtection="1"/>
    <xf numFmtId="165" fontId="0" fillId="9" borderId="0" xfId="2" applyNumberFormat="1" applyFont="1" applyFill="1" applyBorder="1" applyProtection="1"/>
    <xf numFmtId="164" fontId="0" fillId="6" borderId="1" xfId="2" applyNumberFormat="1" applyFont="1" applyFill="1" applyBorder="1" applyProtection="1">
      <protection locked="0"/>
    </xf>
    <xf numFmtId="164" fontId="0" fillId="6" borderId="7" xfId="1" applyNumberFormat="1" applyFont="1" applyFill="1" applyBorder="1" applyProtection="1">
      <protection locked="0"/>
    </xf>
    <xf numFmtId="9" fontId="3" fillId="4" borderId="0" xfId="2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165" fontId="0" fillId="6" borderId="55" xfId="1" applyNumberFormat="1" applyFont="1" applyFill="1" applyBorder="1" applyAlignment="1" applyProtection="1">
      <alignment horizontal="right"/>
      <protection locked="0"/>
    </xf>
    <xf numFmtId="0" fontId="0" fillId="6" borderId="55" xfId="0" applyFill="1" applyBorder="1" applyAlignment="1" applyProtection="1">
      <alignment horizontal="right"/>
      <protection locked="0"/>
    </xf>
    <xf numFmtId="164" fontId="0" fillId="6" borderId="55" xfId="0" applyNumberFormat="1" applyFill="1" applyBorder="1" applyAlignment="1" applyProtection="1">
      <alignment horizontal="right"/>
      <protection locked="0"/>
    </xf>
    <xf numFmtId="0" fontId="0" fillId="6" borderId="30" xfId="0" applyFill="1" applyBorder="1"/>
    <xf numFmtId="164" fontId="0" fillId="6" borderId="30" xfId="0" applyNumberFormat="1" applyFill="1" applyBorder="1"/>
    <xf numFmtId="164" fontId="0" fillId="6" borderId="55" xfId="1" applyNumberFormat="1" applyFont="1" applyFill="1" applyBorder="1" applyAlignment="1" applyProtection="1">
      <alignment horizontal="right"/>
      <protection locked="0"/>
    </xf>
    <xf numFmtId="164" fontId="0" fillId="6" borderId="7" xfId="0" applyNumberFormat="1" applyFill="1" applyBorder="1" applyAlignment="1" applyProtection="1">
      <alignment wrapText="1"/>
      <protection locked="0"/>
    </xf>
    <xf numFmtId="164" fontId="0" fillId="6" borderId="12" xfId="0" applyNumberFormat="1" applyFill="1" applyBorder="1" applyAlignment="1" applyProtection="1">
      <alignment wrapText="1"/>
      <protection locked="0"/>
    </xf>
    <xf numFmtId="164" fontId="0" fillId="6" borderId="7" xfId="0" applyNumberFormat="1" applyFill="1" applyBorder="1" applyProtection="1">
      <protection locked="0"/>
    </xf>
    <xf numFmtId="10" fontId="0" fillId="6" borderId="8" xfId="2" applyNumberFormat="1" applyFont="1" applyFill="1" applyBorder="1" applyAlignment="1" applyProtection="1">
      <alignment horizontal="right"/>
      <protection locked="0"/>
    </xf>
    <xf numFmtId="10" fontId="0" fillId="6" borderId="10" xfId="2" applyNumberFormat="1" applyFont="1" applyFill="1" applyBorder="1" applyAlignment="1" applyProtection="1">
      <alignment horizontal="right"/>
      <protection locked="0"/>
    </xf>
    <xf numFmtId="10" fontId="0" fillId="6" borderId="13" xfId="2" applyNumberFormat="1" applyFont="1" applyFill="1" applyBorder="1" applyAlignment="1" applyProtection="1">
      <alignment horizontal="right"/>
      <protection locked="0"/>
    </xf>
    <xf numFmtId="10" fontId="0" fillId="6" borderId="8" xfId="2" applyNumberFormat="1" applyFont="1" applyFill="1" applyBorder="1" applyAlignment="1" applyProtection="1">
      <alignment wrapText="1"/>
      <protection locked="0"/>
    </xf>
    <xf numFmtId="10" fontId="0" fillId="6" borderId="13" xfId="2" applyNumberFormat="1" applyFont="1" applyFill="1" applyBorder="1" applyAlignment="1" applyProtection="1">
      <alignment wrapText="1"/>
      <protection locked="0"/>
    </xf>
    <xf numFmtId="164" fontId="34" fillId="4" borderId="14" xfId="1" applyNumberFormat="1" applyFont="1" applyFill="1" applyBorder="1" applyAlignment="1">
      <alignment horizontal="center"/>
    </xf>
    <xf numFmtId="0" fontId="0" fillId="9" borderId="0" xfId="0" applyFill="1" applyAlignment="1">
      <alignment horizontal="center" vertical="center"/>
    </xf>
    <xf numFmtId="165" fontId="0" fillId="9" borderId="0" xfId="1" applyNumberFormat="1" applyFont="1" applyFill="1" applyBorder="1" applyProtection="1">
      <protection locked="0"/>
    </xf>
    <xf numFmtId="9" fontId="0" fillId="9" borderId="0" xfId="0" applyNumberFormat="1" applyFill="1" applyProtection="1">
      <protection locked="0"/>
    </xf>
    <xf numFmtId="164" fontId="0" fillId="9" borderId="0" xfId="0" applyNumberFormat="1" applyFill="1"/>
    <xf numFmtId="165" fontId="0" fillId="9" borderId="0" xfId="1" applyNumberFormat="1" applyFont="1" applyFill="1" applyBorder="1" applyAlignment="1" applyProtection="1">
      <alignment horizontal="left"/>
      <protection locked="0"/>
    </xf>
    <xf numFmtId="0" fontId="3" fillId="9" borderId="4" xfId="0" applyFont="1" applyFill="1" applyBorder="1" applyAlignment="1">
      <alignment horizontal="center" vertical="center"/>
    </xf>
    <xf numFmtId="44" fontId="0" fillId="9" borderId="0" xfId="1" applyFont="1" applyFill="1" applyBorder="1"/>
    <xf numFmtId="44" fontId="0" fillId="9" borderId="0" xfId="1" applyFont="1" applyFill="1" applyBorder="1" applyAlignment="1">
      <alignment horizontal="center" vertical="center"/>
    </xf>
    <xf numFmtId="44" fontId="0" fillId="9" borderId="0" xfId="1" applyFont="1" applyFill="1" applyBorder="1" applyAlignment="1" applyProtection="1">
      <alignment horizontal="center"/>
      <protection locked="0"/>
    </xf>
    <xf numFmtId="44" fontId="0" fillId="9" borderId="0" xfId="1" applyFont="1" applyFill="1" applyBorder="1" applyAlignment="1" applyProtection="1">
      <alignment horizontal="center" vertical="center"/>
      <protection locked="0"/>
    </xf>
    <xf numFmtId="164" fontId="0" fillId="9" borderId="0" xfId="0" applyNumberFormat="1" applyFill="1" applyAlignment="1">
      <alignment horizontal="center"/>
    </xf>
    <xf numFmtId="0" fontId="15" fillId="3" borderId="27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15" fillId="3" borderId="29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/>
    </xf>
    <xf numFmtId="164" fontId="0" fillId="6" borderId="0" xfId="0" applyNumberFormat="1" applyFill="1"/>
    <xf numFmtId="0" fontId="0" fillId="6" borderId="0" xfId="0" applyFill="1"/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6" fillId="9" borderId="0" xfId="0" applyFont="1" applyFill="1" applyAlignment="1">
      <alignment vertical="center"/>
    </xf>
    <xf numFmtId="0" fontId="13" fillId="9" borderId="0" xfId="0" applyFont="1" applyFill="1" applyAlignment="1">
      <alignment vertical="center"/>
    </xf>
    <xf numFmtId="0" fontId="4" fillId="6" borderId="30" xfId="0" applyFont="1" applyFill="1" applyBorder="1" applyAlignment="1" applyProtection="1">
      <alignment horizontal="center" vertical="center"/>
      <protection locked="0"/>
    </xf>
    <xf numFmtId="0" fontId="4" fillId="6" borderId="27" xfId="0" applyFont="1" applyFill="1" applyBorder="1" applyAlignment="1" applyProtection="1">
      <alignment horizontal="center" vertical="center"/>
      <protection locked="0"/>
    </xf>
    <xf numFmtId="164" fontId="0" fillId="6" borderId="30" xfId="0" applyNumberFormat="1" applyFill="1" applyBorder="1" applyAlignment="1">
      <alignment horizontal="center" vertical="center"/>
    </xf>
    <xf numFmtId="164" fontId="0" fillId="6" borderId="29" xfId="1" applyNumberFormat="1" applyFont="1" applyFill="1" applyBorder="1" applyAlignment="1" applyProtection="1">
      <alignment horizontal="center" vertical="center"/>
    </xf>
    <xf numFmtId="164" fontId="26" fillId="6" borderId="8" xfId="1" applyNumberFormat="1" applyFont="1" applyFill="1" applyBorder="1" applyAlignment="1" applyProtection="1">
      <alignment horizontal="center" vertical="center"/>
    </xf>
    <xf numFmtId="164" fontId="26" fillId="6" borderId="13" xfId="1" applyNumberFormat="1" applyFont="1" applyFill="1" applyBorder="1" applyAlignment="1" applyProtection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/>
    </xf>
    <xf numFmtId="164" fontId="0" fillId="9" borderId="4" xfId="0" applyNumberFormat="1" applyFill="1" applyBorder="1"/>
    <xf numFmtId="0" fontId="0" fillId="9" borderId="4" xfId="0" applyFill="1" applyBorder="1"/>
    <xf numFmtId="164" fontId="0" fillId="9" borderId="4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3" fillId="9" borderId="0" xfId="0" applyFont="1" applyFill="1" applyAlignment="1">
      <alignment horizontal="center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4" fillId="6" borderId="27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11" fillId="0" borderId="0" xfId="3" applyFont="1" applyAlignment="1" applyProtection="1">
      <alignment horizontal="center"/>
      <protection hidden="1"/>
    </xf>
    <xf numFmtId="164" fontId="0" fillId="0" borderId="0" xfId="0" applyNumberFormat="1"/>
    <xf numFmtId="164" fontId="0" fillId="6" borderId="29" xfId="0" applyNumberFormat="1" applyFill="1" applyBorder="1" applyAlignment="1">
      <alignment horizontal="center" vertical="center"/>
    </xf>
    <xf numFmtId="164" fontId="0" fillId="6" borderId="7" xfId="1" applyNumberFormat="1" applyFont="1" applyFill="1" applyBorder="1" applyAlignment="1" applyProtection="1">
      <alignment horizontal="center" vertical="center"/>
      <protection locked="0"/>
    </xf>
    <xf numFmtId="164" fontId="0" fillId="6" borderId="8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0" xfId="1" applyNumberFormat="1" applyFont="1" applyFill="1" applyBorder="1" applyAlignment="1" applyProtection="1">
      <alignment horizontal="center" vertical="center"/>
      <protection locked="0"/>
    </xf>
    <xf numFmtId="164" fontId="0" fillId="6" borderId="12" xfId="1" applyNumberFormat="1" applyFont="1" applyFill="1" applyBorder="1" applyAlignment="1" applyProtection="1">
      <alignment horizontal="center" vertical="center"/>
      <protection locked="0"/>
    </xf>
    <xf numFmtId="164" fontId="0" fillId="6" borderId="13" xfId="1" applyNumberFormat="1" applyFont="1" applyFill="1" applyBorder="1" applyAlignment="1" applyProtection="1">
      <alignment horizontal="center" vertical="center"/>
      <protection locked="0"/>
    </xf>
    <xf numFmtId="166" fontId="0" fillId="6" borderId="7" xfId="1" applyNumberFormat="1" applyFont="1" applyFill="1" applyBorder="1" applyAlignment="1" applyProtection="1">
      <alignment horizontal="center" vertical="center"/>
      <protection locked="0"/>
    </xf>
    <xf numFmtId="166" fontId="0" fillId="6" borderId="1" xfId="1" applyNumberFormat="1" applyFont="1" applyFill="1" applyBorder="1" applyAlignment="1" applyProtection="1">
      <alignment horizontal="center" vertical="center"/>
      <protection locked="0"/>
    </xf>
    <xf numFmtId="166" fontId="0" fillId="6" borderId="12" xfId="1" applyNumberFormat="1" applyFont="1" applyFill="1" applyBorder="1" applyAlignment="1" applyProtection="1">
      <alignment horizontal="center" vertical="center"/>
      <protection locked="0"/>
    </xf>
    <xf numFmtId="166" fontId="0" fillId="6" borderId="7" xfId="0" applyNumberFormat="1" applyFill="1" applyBorder="1" applyAlignment="1" applyProtection="1">
      <alignment horizontal="center" vertical="center"/>
      <protection locked="0"/>
    </xf>
    <xf numFmtId="166" fontId="0" fillId="6" borderId="1" xfId="2" applyNumberFormat="1" applyFont="1" applyFill="1" applyBorder="1" applyAlignment="1" applyProtection="1">
      <alignment horizontal="center" vertical="center"/>
      <protection locked="0"/>
    </xf>
    <xf numFmtId="166" fontId="0" fillId="6" borderId="1" xfId="0" applyNumberFormat="1" applyFill="1" applyBorder="1" applyAlignment="1" applyProtection="1">
      <alignment horizontal="center" vertical="center"/>
      <protection locked="0"/>
    </xf>
    <xf numFmtId="166" fontId="0" fillId="6" borderId="12" xfId="0" applyNumberFormat="1" applyFill="1" applyBorder="1" applyAlignment="1" applyProtection="1">
      <alignment horizontal="center" vertical="center"/>
      <protection locked="0"/>
    </xf>
    <xf numFmtId="166" fontId="0" fillId="6" borderId="31" xfId="2" applyNumberFormat="1" applyFont="1" applyFill="1" applyBorder="1" applyAlignment="1" applyProtection="1">
      <alignment horizontal="center" vertical="center"/>
    </xf>
    <xf numFmtId="10" fontId="0" fillId="6" borderId="8" xfId="2" applyNumberFormat="1" applyFont="1" applyFill="1" applyBorder="1" applyAlignment="1" applyProtection="1">
      <alignment horizontal="right" vertical="center"/>
    </xf>
    <xf numFmtId="10" fontId="0" fillId="6" borderId="10" xfId="2" applyNumberFormat="1" applyFont="1" applyFill="1" applyBorder="1" applyAlignment="1" applyProtection="1">
      <alignment horizontal="right" vertical="center"/>
    </xf>
    <xf numFmtId="10" fontId="0" fillId="6" borderId="13" xfId="2" applyNumberFormat="1" applyFont="1" applyFill="1" applyBorder="1" applyAlignment="1" applyProtection="1">
      <alignment horizontal="right" vertical="center"/>
    </xf>
    <xf numFmtId="0" fontId="4" fillId="0" borderId="59" xfId="0" applyFont="1" applyBorder="1"/>
    <xf numFmtId="165" fontId="0" fillId="6" borderId="44" xfId="1" applyNumberFormat="1" applyFont="1" applyFill="1" applyBorder="1" applyProtection="1">
      <protection locked="0"/>
    </xf>
    <xf numFmtId="165" fontId="0" fillId="6" borderId="45" xfId="1" applyNumberFormat="1" applyFont="1" applyFill="1" applyBorder="1" applyProtection="1"/>
    <xf numFmtId="0" fontId="38" fillId="18" borderId="27" xfId="0" applyFont="1" applyFill="1" applyBorder="1" applyAlignment="1">
      <alignment horizontal="center"/>
    </xf>
    <xf numFmtId="0" fontId="38" fillId="18" borderId="30" xfId="0" applyFont="1" applyFill="1" applyBorder="1" applyAlignment="1">
      <alignment horizontal="center"/>
    </xf>
    <xf numFmtId="0" fontId="35" fillId="18" borderId="27" xfId="0" applyFont="1" applyFill="1" applyBorder="1" applyAlignment="1">
      <alignment horizontal="center" vertical="center"/>
    </xf>
    <xf numFmtId="0" fontId="35" fillId="18" borderId="30" xfId="0" applyFont="1" applyFill="1" applyBorder="1" applyAlignment="1">
      <alignment horizontal="center"/>
    </xf>
    <xf numFmtId="0" fontId="35" fillId="18" borderId="29" xfId="0" applyFont="1" applyFill="1" applyBorder="1" applyAlignment="1">
      <alignment horizontal="center"/>
    </xf>
    <xf numFmtId="0" fontId="35" fillId="18" borderId="30" xfId="0" applyFont="1" applyFill="1" applyBorder="1" applyAlignment="1">
      <alignment horizontal="center" vertical="center"/>
    </xf>
    <xf numFmtId="0" fontId="35" fillId="18" borderId="29" xfId="0" applyFont="1" applyFill="1" applyBorder="1" applyAlignment="1">
      <alignment horizontal="center" vertical="center"/>
    </xf>
    <xf numFmtId="164" fontId="35" fillId="18" borderId="22" xfId="0" applyNumberFormat="1" applyFont="1" applyFill="1" applyBorder="1" applyAlignment="1">
      <alignment horizontal="center" vertical="center"/>
    </xf>
    <xf numFmtId="164" fontId="39" fillId="17" borderId="23" xfId="1" applyNumberFormat="1" applyFont="1" applyFill="1" applyBorder="1" applyAlignment="1" applyProtection="1">
      <alignment horizontal="center" vertical="center"/>
    </xf>
    <xf numFmtId="0" fontId="35" fillId="18" borderId="34" xfId="0" applyFont="1" applyFill="1" applyBorder="1" applyAlignment="1">
      <alignment horizontal="center"/>
    </xf>
    <xf numFmtId="0" fontId="35" fillId="18" borderId="32" xfId="0" applyFont="1" applyFill="1" applyBorder="1" applyAlignment="1">
      <alignment horizontal="center"/>
    </xf>
    <xf numFmtId="0" fontId="35" fillId="18" borderId="27" xfId="0" applyFont="1" applyFill="1" applyBorder="1" applyAlignment="1">
      <alignment horizontal="center"/>
    </xf>
    <xf numFmtId="44" fontId="35" fillId="18" borderId="30" xfId="1" applyFont="1" applyFill="1" applyBorder="1" applyAlignment="1">
      <alignment horizontal="center"/>
    </xf>
    <xf numFmtId="44" fontId="35" fillId="18" borderId="29" xfId="1" applyFont="1" applyFill="1" applyBorder="1" applyAlignment="1">
      <alignment horizontal="center"/>
    </xf>
    <xf numFmtId="44" fontId="35" fillId="18" borderId="31" xfId="1" applyFont="1" applyFill="1" applyBorder="1" applyAlignment="1">
      <alignment horizontal="center"/>
    </xf>
    <xf numFmtId="44" fontId="35" fillId="18" borderId="4" xfId="1" applyFont="1" applyFill="1" applyBorder="1" applyAlignment="1">
      <alignment horizontal="center" vertical="center"/>
    </xf>
    <xf numFmtId="0" fontId="35" fillId="18" borderId="31" xfId="0" applyFont="1" applyFill="1" applyBorder="1" applyAlignment="1">
      <alignment horizontal="center"/>
    </xf>
    <xf numFmtId="0" fontId="35" fillId="18" borderId="36" xfId="0" applyFont="1" applyFill="1" applyBorder="1" applyAlignment="1">
      <alignment horizontal="center"/>
    </xf>
    <xf numFmtId="0" fontId="35" fillId="18" borderId="35" xfId="0" applyFont="1" applyFill="1" applyBorder="1" applyAlignment="1">
      <alignment horizontal="center"/>
    </xf>
    <xf numFmtId="0" fontId="35" fillId="18" borderId="40" xfId="0" applyFont="1" applyFill="1" applyBorder="1" applyAlignment="1">
      <alignment horizontal="center" vertical="center"/>
    </xf>
    <xf numFmtId="0" fontId="9" fillId="3" borderId="11" xfId="0" applyFont="1" applyFill="1" applyBorder="1"/>
    <xf numFmtId="0" fontId="0" fillId="6" borderId="60" xfId="0" applyFill="1" applyBorder="1" applyAlignment="1" applyProtection="1">
      <alignment horizontal="center" vertical="center"/>
      <protection locked="0"/>
    </xf>
    <xf numFmtId="164" fontId="0" fillId="6" borderId="55" xfId="1" applyNumberFormat="1" applyFont="1" applyFill="1" applyBorder="1" applyAlignment="1" applyProtection="1">
      <alignment horizontal="center" vertical="center"/>
      <protection locked="0"/>
    </xf>
    <xf numFmtId="9" fontId="0" fillId="6" borderId="55" xfId="0" applyNumberFormat="1" applyFill="1" applyBorder="1" applyAlignment="1" applyProtection="1">
      <alignment horizontal="right"/>
      <protection locked="0"/>
    </xf>
    <xf numFmtId="0" fontId="0" fillId="6" borderId="55" xfId="0" applyFill="1" applyBorder="1" applyAlignment="1" applyProtection="1">
      <alignment horizontal="center" vertical="center"/>
      <protection locked="0"/>
    </xf>
    <xf numFmtId="44" fontId="0" fillId="6" borderId="55" xfId="1" applyFont="1" applyFill="1" applyBorder="1" applyAlignment="1" applyProtection="1">
      <alignment horizontal="center" vertical="center"/>
      <protection locked="0"/>
    </xf>
    <xf numFmtId="44" fontId="0" fillId="6" borderId="61" xfId="1" applyFont="1" applyFill="1" applyBorder="1" applyAlignment="1" applyProtection="1">
      <alignment horizontal="center" vertical="center"/>
      <protection locked="0"/>
    </xf>
    <xf numFmtId="44" fontId="0" fillId="6" borderId="7" xfId="1" applyFont="1" applyFill="1" applyBorder="1" applyAlignment="1" applyProtection="1">
      <alignment horizontal="left" vertical="center"/>
      <protection locked="0"/>
    </xf>
    <xf numFmtId="10" fontId="0" fillId="6" borderId="7" xfId="0" applyNumberFormat="1" applyFill="1" applyBorder="1" applyAlignment="1" applyProtection="1">
      <alignment horizontal="center"/>
      <protection locked="0"/>
    </xf>
    <xf numFmtId="10" fontId="0" fillId="6" borderId="1" xfId="0" applyNumberFormat="1" applyFill="1" applyBorder="1" applyAlignment="1" applyProtection="1">
      <alignment horizontal="center"/>
      <protection locked="0"/>
    </xf>
    <xf numFmtId="0" fontId="3" fillId="9" borderId="15" xfId="0" applyFont="1" applyFill="1" applyBorder="1" applyAlignment="1">
      <alignment horizontal="center" vertical="center"/>
    </xf>
    <xf numFmtId="164" fontId="34" fillId="9" borderId="15" xfId="1" applyNumberFormat="1" applyFont="1" applyFill="1" applyBorder="1" applyAlignment="1">
      <alignment horizontal="center"/>
    </xf>
    <xf numFmtId="0" fontId="0" fillId="6" borderId="7" xfId="1" applyNumberFormat="1" applyFont="1" applyFill="1" applyBorder="1" applyAlignment="1" applyProtection="1">
      <alignment horizontal="right"/>
      <protection locked="0"/>
    </xf>
    <xf numFmtId="165" fontId="8" fillId="6" borderId="10" xfId="1" applyNumberFormat="1" applyFont="1" applyFill="1" applyBorder="1" applyAlignment="1" applyProtection="1">
      <protection locked="0"/>
    </xf>
    <xf numFmtId="0" fontId="0" fillId="6" borderId="37" xfId="0" applyFill="1" applyBorder="1" applyAlignment="1" applyProtection="1">
      <alignment horizontal="center" vertical="center"/>
      <protection locked="0"/>
    </xf>
    <xf numFmtId="164" fontId="0" fillId="6" borderId="33" xfId="1" applyNumberFormat="1" applyFont="1" applyFill="1" applyBorder="1" applyAlignment="1" applyProtection="1">
      <alignment horizontal="center" vertical="center"/>
      <protection locked="0"/>
    </xf>
    <xf numFmtId="0" fontId="0" fillId="6" borderId="33" xfId="0" applyFill="1" applyBorder="1" applyAlignment="1" applyProtection="1">
      <alignment horizontal="center" vertical="center"/>
      <protection locked="0"/>
    </xf>
    <xf numFmtId="44" fontId="0" fillId="6" borderId="33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40" fillId="18" borderId="0" xfId="0" applyFont="1" applyFill="1" applyAlignment="1">
      <alignment horizontal="center" vertical="center"/>
    </xf>
    <xf numFmtId="49" fontId="41" fillId="4" borderId="0" xfId="0" applyNumberFormat="1" applyFont="1" applyFill="1" applyAlignment="1">
      <alignment horizontal="center" vertical="center"/>
    </xf>
    <xf numFmtId="0" fontId="0" fillId="6" borderId="12" xfId="0" applyFill="1" applyBorder="1" applyAlignment="1" applyProtection="1">
      <alignment horizontal="left"/>
      <protection locked="0"/>
    </xf>
    <xf numFmtId="0" fontId="0" fillId="6" borderId="25" xfId="0" applyFill="1" applyBorder="1" applyAlignment="1" applyProtection="1">
      <alignment horizontal="left"/>
      <protection locked="0"/>
    </xf>
    <xf numFmtId="0" fontId="0" fillId="6" borderId="1" xfId="0" applyFill="1" applyBorder="1" applyAlignment="1" applyProtection="1">
      <alignment horizontal="left"/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31" fillId="4" borderId="3" xfId="0" applyFont="1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37" fillId="18" borderId="14" xfId="0" applyFont="1" applyFill="1" applyBorder="1" applyAlignment="1">
      <alignment horizontal="center" vertical="center"/>
    </xf>
    <xf numFmtId="0" fontId="37" fillId="18" borderId="15" xfId="0" applyFont="1" applyFill="1" applyBorder="1" applyAlignment="1">
      <alignment horizontal="center" vertical="center"/>
    </xf>
    <xf numFmtId="0" fontId="37" fillId="18" borderId="16" xfId="0" applyFont="1" applyFill="1" applyBorder="1" applyAlignment="1">
      <alignment horizontal="center" vertical="center"/>
    </xf>
    <xf numFmtId="0" fontId="37" fillId="18" borderId="19" xfId="0" applyFont="1" applyFill="1" applyBorder="1" applyAlignment="1">
      <alignment horizontal="center" vertical="center"/>
    </xf>
    <xf numFmtId="0" fontId="37" fillId="18" borderId="20" xfId="0" applyFont="1" applyFill="1" applyBorder="1" applyAlignment="1">
      <alignment horizontal="center" vertical="center"/>
    </xf>
    <xf numFmtId="0" fontId="37" fillId="18" borderId="21" xfId="0" applyFont="1" applyFill="1" applyBorder="1" applyAlignment="1">
      <alignment horizontal="center" vertical="center"/>
    </xf>
    <xf numFmtId="0" fontId="0" fillId="6" borderId="7" xfId="0" applyFill="1" applyBorder="1" applyAlignment="1" applyProtection="1">
      <alignment horizontal="left"/>
      <protection locked="0"/>
    </xf>
    <xf numFmtId="0" fontId="0" fillId="6" borderId="24" xfId="0" applyFill="1" applyBorder="1" applyAlignment="1" applyProtection="1">
      <alignment horizontal="left"/>
      <protection locked="0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4" fontId="0" fillId="6" borderId="1" xfId="0" applyNumberFormat="1" applyFill="1" applyBorder="1" applyAlignment="1" applyProtection="1">
      <alignment horizontal="left"/>
      <protection locked="0"/>
    </xf>
    <xf numFmtId="0" fontId="0" fillId="6" borderId="12" xfId="0" applyFill="1" applyBorder="1" applyAlignment="1" applyProtection="1">
      <alignment horizontal="left" vertical="center"/>
      <protection locked="0"/>
    </xf>
    <xf numFmtId="0" fontId="0" fillId="6" borderId="13" xfId="0" applyFill="1" applyBorder="1" applyAlignment="1" applyProtection="1">
      <alignment horizontal="left" vertical="center"/>
      <protection locked="0"/>
    </xf>
    <xf numFmtId="0" fontId="3" fillId="4" borderId="1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64" fontId="34" fillId="9" borderId="0" xfId="1" applyNumberFormat="1" applyFont="1" applyFill="1" applyBorder="1" applyAlignment="1" applyProtection="1">
      <alignment horizontal="center" vertical="center"/>
    </xf>
    <xf numFmtId="0" fontId="6" fillId="9" borderId="0" xfId="0" applyFont="1" applyFill="1" applyAlignment="1">
      <alignment horizontal="left"/>
    </xf>
    <xf numFmtId="0" fontId="36" fillId="18" borderId="14" xfId="0" applyFont="1" applyFill="1" applyBorder="1" applyAlignment="1">
      <alignment horizontal="center" vertical="center"/>
    </xf>
    <xf numFmtId="0" fontId="36" fillId="18" borderId="15" xfId="0" applyFont="1" applyFill="1" applyBorder="1" applyAlignment="1">
      <alignment horizontal="center" vertical="center"/>
    </xf>
    <xf numFmtId="0" fontId="36" fillId="18" borderId="16" xfId="0" applyFont="1" applyFill="1" applyBorder="1" applyAlignment="1">
      <alignment horizontal="center" vertical="center"/>
    </xf>
    <xf numFmtId="0" fontId="36" fillId="18" borderId="19" xfId="0" applyFont="1" applyFill="1" applyBorder="1" applyAlignment="1">
      <alignment horizontal="center" vertical="center"/>
    </xf>
    <xf numFmtId="0" fontId="36" fillId="18" borderId="20" xfId="0" applyFont="1" applyFill="1" applyBorder="1" applyAlignment="1">
      <alignment horizontal="center" vertical="center"/>
    </xf>
    <xf numFmtId="0" fontId="36" fillId="18" borderId="21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5" fillId="18" borderId="28" xfId="0" applyFont="1" applyFill="1" applyBorder="1" applyAlignment="1">
      <alignment horizontal="center"/>
    </xf>
    <xf numFmtId="0" fontId="35" fillId="18" borderId="5" xfId="0" applyFont="1" applyFill="1" applyBorder="1" applyAlignment="1">
      <alignment horizontal="center"/>
    </xf>
    <xf numFmtId="164" fontId="0" fillId="6" borderId="28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5" fillId="18" borderId="3" xfId="0" applyFont="1" applyFill="1" applyBorder="1" applyAlignment="1">
      <alignment horizontal="center" vertical="center"/>
    </xf>
    <xf numFmtId="0" fontId="35" fillId="18" borderId="50" xfId="0" applyFont="1" applyFill="1" applyBorder="1" applyAlignment="1">
      <alignment horizontal="center" vertical="center"/>
    </xf>
    <xf numFmtId="0" fontId="0" fillId="6" borderId="51" xfId="0" applyFill="1" applyBorder="1" applyAlignment="1" applyProtection="1">
      <alignment horizontal="center" vertical="center"/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6" borderId="54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35" fillId="18" borderId="28" xfId="0" applyFont="1" applyFill="1" applyBorder="1" applyAlignment="1">
      <alignment horizontal="center" vertical="center"/>
    </xf>
    <xf numFmtId="0" fontId="35" fillId="18" borderId="5" xfId="0" applyFont="1" applyFill="1" applyBorder="1" applyAlignment="1">
      <alignment horizontal="center" vertical="center"/>
    </xf>
    <xf numFmtId="0" fontId="0" fillId="6" borderId="52" xfId="0" applyFill="1" applyBorder="1" applyAlignment="1" applyProtection="1">
      <alignment horizontal="center" vertical="center"/>
      <protection locked="0"/>
    </xf>
    <xf numFmtId="0" fontId="0" fillId="6" borderId="53" xfId="0" applyFill="1" applyBorder="1" applyAlignment="1" applyProtection="1">
      <alignment horizontal="center" vertical="center"/>
      <protection locked="0"/>
    </xf>
    <xf numFmtId="165" fontId="0" fillId="6" borderId="25" xfId="1" applyNumberFormat="1" applyFont="1" applyFill="1" applyBorder="1" applyAlignment="1" applyProtection="1">
      <alignment horizontal="center"/>
      <protection locked="0"/>
    </xf>
    <xf numFmtId="165" fontId="0" fillId="6" borderId="56" xfId="1" applyNumberFormat="1" applyFont="1" applyFill="1" applyBorder="1" applyAlignment="1" applyProtection="1">
      <alignment horizontal="center"/>
      <protection locked="0"/>
    </xf>
    <xf numFmtId="164" fontId="0" fillId="6" borderId="2" xfId="0" applyNumberFormat="1" applyFill="1" applyBorder="1" applyAlignment="1" applyProtection="1">
      <alignment horizontal="center"/>
      <protection locked="0"/>
    </xf>
    <xf numFmtId="164" fontId="0" fillId="6" borderId="57" xfId="0" applyNumberFormat="1" applyFill="1" applyBorder="1" applyAlignment="1" applyProtection="1">
      <alignment horizontal="center"/>
      <protection locked="0"/>
    </xf>
    <xf numFmtId="165" fontId="0" fillId="6" borderId="24" xfId="1" applyNumberFormat="1" applyFont="1" applyFill="1" applyBorder="1" applyAlignment="1" applyProtection="1">
      <alignment horizontal="center"/>
      <protection locked="0"/>
    </xf>
    <xf numFmtId="165" fontId="0" fillId="6" borderId="26" xfId="1" applyNumberFormat="1" applyFont="1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9" borderId="0" xfId="0" applyFill="1" applyAlignment="1" applyProtection="1">
      <alignment horizontal="center" wrapText="1"/>
      <protection locked="0"/>
    </xf>
    <xf numFmtId="0" fontId="3" fillId="4" borderId="15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35" fillId="18" borderId="27" xfId="0" applyFont="1" applyFill="1" applyBorder="1" applyAlignment="1">
      <alignment horizontal="center"/>
    </xf>
    <xf numFmtId="0" fontId="35" fillId="18" borderId="30" xfId="0" applyFont="1" applyFill="1" applyBorder="1" applyAlignment="1">
      <alignment horizontal="center"/>
    </xf>
    <xf numFmtId="0" fontId="35" fillId="18" borderId="54" xfId="0" applyFont="1" applyFill="1" applyBorder="1" applyAlignment="1">
      <alignment horizontal="center" vertical="center"/>
    </xf>
    <xf numFmtId="0" fontId="35" fillId="18" borderId="49" xfId="0" applyFont="1" applyFill="1" applyBorder="1" applyAlignment="1">
      <alignment horizontal="center" vertical="center"/>
    </xf>
    <xf numFmtId="0" fontId="35" fillId="18" borderId="26" xfId="0" applyFont="1" applyFill="1" applyBorder="1" applyAlignment="1">
      <alignment horizontal="center" vertical="center"/>
    </xf>
    <xf numFmtId="0" fontId="39" fillId="17" borderId="51" xfId="0" applyFont="1" applyFill="1" applyBorder="1" applyAlignment="1">
      <alignment horizontal="center" vertical="center"/>
    </xf>
    <xf numFmtId="0" fontId="39" fillId="17" borderId="58" xfId="0" applyFont="1" applyFill="1" applyBorder="1" applyAlignment="1">
      <alignment horizontal="center" vertical="center"/>
    </xf>
    <xf numFmtId="0" fontId="39" fillId="17" borderId="56" xfId="0" applyFont="1" applyFill="1" applyBorder="1" applyAlignment="1">
      <alignment horizontal="center" vertical="center"/>
    </xf>
    <xf numFmtId="0" fontId="35" fillId="18" borderId="27" xfId="0" applyFont="1" applyFill="1" applyBorder="1" applyAlignment="1">
      <alignment horizontal="center" vertical="center"/>
    </xf>
    <xf numFmtId="0" fontId="35" fillId="18" borderId="3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left"/>
    </xf>
    <xf numFmtId="10" fontId="0" fillId="6" borderId="7" xfId="1" applyNumberFormat="1" applyFont="1" applyFill="1" applyBorder="1" applyAlignment="1" applyProtection="1">
      <alignment horizontal="right" vertical="center"/>
      <protection locked="0"/>
    </xf>
    <xf numFmtId="44" fontId="0" fillId="6" borderId="7" xfId="1" applyFont="1" applyFill="1" applyBorder="1" applyAlignment="1" applyProtection="1">
      <alignment horizontal="right" vertical="center"/>
      <protection locked="0"/>
    </xf>
    <xf numFmtId="9" fontId="0" fillId="6" borderId="1" xfId="1" applyNumberFormat="1" applyFont="1" applyFill="1" applyBorder="1" applyAlignment="1" applyProtection="1">
      <alignment horizontal="right" vertical="center"/>
      <protection locked="0"/>
    </xf>
    <xf numFmtId="44" fontId="0" fillId="6" borderId="1" xfId="1" applyFont="1" applyFill="1" applyBorder="1" applyAlignment="1" applyProtection="1">
      <alignment horizontal="right" vertical="center"/>
      <protection locked="0"/>
    </xf>
    <xf numFmtId="44" fontId="0" fillId="6" borderId="1" xfId="1" applyFont="1" applyFill="1" applyBorder="1" applyAlignment="1" applyProtection="1">
      <alignment horizontal="left" vertical="center"/>
      <protection locked="0"/>
    </xf>
    <xf numFmtId="44" fontId="0" fillId="6" borderId="12" xfId="1" applyFont="1" applyFill="1" applyBorder="1" applyAlignment="1" applyProtection="1">
      <alignment horizontal="left" vertical="center"/>
      <protection locked="0"/>
    </xf>
    <xf numFmtId="164" fontId="0" fillId="6" borderId="3" xfId="0" applyNumberFormat="1" applyFill="1" applyBorder="1" applyAlignment="1">
      <alignment horizontal="center"/>
    </xf>
    <xf numFmtId="0" fontId="6" fillId="4" borderId="3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164" fontId="34" fillId="4" borderId="3" xfId="1" applyNumberFormat="1" applyFont="1" applyFill="1" applyBorder="1" applyAlignment="1" applyProtection="1">
      <alignment horizontal="center" vertical="center"/>
    </xf>
    <xf numFmtId="164" fontId="34" fillId="4" borderId="5" xfId="1" applyNumberFormat="1" applyFont="1" applyFill="1" applyBorder="1" applyAlignment="1" applyProtection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6" borderId="29" xfId="0" applyNumberFormat="1" applyFill="1" applyBorder="1" applyAlignment="1">
      <alignment horizontal="center"/>
    </xf>
    <xf numFmtId="165" fontId="0" fillId="6" borderId="3" xfId="1" applyNumberFormat="1" applyFont="1" applyFill="1" applyBorder="1" applyAlignment="1" applyProtection="1">
      <alignment horizontal="center"/>
      <protection locked="0"/>
    </xf>
    <xf numFmtId="165" fontId="0" fillId="6" borderId="5" xfId="1" applyNumberFormat="1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0" fillId="6" borderId="10" xfId="0" applyFill="1" applyBorder="1" applyAlignment="1" applyProtection="1">
      <alignment horizontal="center" vertical="center" wrapText="1"/>
      <protection locked="0"/>
    </xf>
    <xf numFmtId="0" fontId="0" fillId="6" borderId="12" xfId="0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 wrapText="1"/>
      <protection locked="0"/>
    </xf>
    <xf numFmtId="0" fontId="35" fillId="18" borderId="3" xfId="0" applyFont="1" applyFill="1" applyBorder="1" applyAlignment="1">
      <alignment horizontal="center"/>
    </xf>
    <xf numFmtId="0" fontId="35" fillId="18" borderId="4" xfId="0" applyFont="1" applyFill="1" applyBorder="1" applyAlignment="1">
      <alignment horizontal="center"/>
    </xf>
    <xf numFmtId="0" fontId="38" fillId="18" borderId="30" xfId="0" applyFont="1" applyFill="1" applyBorder="1" applyAlignment="1">
      <alignment horizontal="center" vertical="center"/>
    </xf>
    <xf numFmtId="0" fontId="38" fillId="18" borderId="29" xfId="0" applyFont="1" applyFill="1" applyBorder="1" applyAlignment="1">
      <alignment horizontal="center" vertical="center"/>
    </xf>
    <xf numFmtId="0" fontId="0" fillId="6" borderId="7" xfId="0" applyFill="1" applyBorder="1" applyAlignment="1" applyProtection="1">
      <alignment horizontal="center" vertical="center" wrapText="1"/>
      <protection locked="0"/>
    </xf>
    <xf numFmtId="0" fontId="0" fillId="6" borderId="8" xfId="0" applyFill="1" applyBorder="1" applyAlignment="1" applyProtection="1">
      <alignment horizontal="center" vertical="center" wrapText="1"/>
      <protection locked="0"/>
    </xf>
    <xf numFmtId="0" fontId="5" fillId="15" borderId="17" xfId="0" applyFont="1" applyFill="1" applyBorder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5" fillId="15" borderId="18" xfId="0" applyFont="1" applyFill="1" applyBorder="1" applyAlignment="1">
      <alignment horizontal="center" vertical="center" wrapText="1"/>
    </xf>
    <xf numFmtId="0" fontId="5" fillId="15" borderId="19" xfId="0" applyFont="1" applyFill="1" applyBorder="1" applyAlignment="1">
      <alignment horizontal="center" vertical="center" wrapText="1"/>
    </xf>
    <xf numFmtId="0" fontId="5" fillId="15" borderId="20" xfId="0" applyFont="1" applyFill="1" applyBorder="1" applyAlignment="1">
      <alignment horizontal="center" vertical="center" wrapText="1"/>
    </xf>
    <xf numFmtId="0" fontId="5" fillId="15" borderId="21" xfId="0" applyFont="1" applyFill="1" applyBorder="1" applyAlignment="1">
      <alignment horizontal="center" vertical="center" wrapText="1"/>
    </xf>
    <xf numFmtId="0" fontId="5" fillId="15" borderId="14" xfId="0" applyFont="1" applyFill="1" applyBorder="1" applyAlignment="1">
      <alignment horizontal="center" vertical="center" wrapText="1"/>
    </xf>
    <xf numFmtId="0" fontId="5" fillId="15" borderId="15" xfId="0" applyFont="1" applyFill="1" applyBorder="1" applyAlignment="1">
      <alignment horizontal="center" vertical="center"/>
    </xf>
    <xf numFmtId="0" fontId="5" fillId="15" borderId="16" xfId="0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5" borderId="18" xfId="0" applyFont="1" applyFill="1" applyBorder="1" applyAlignment="1">
      <alignment horizontal="center" vertical="center"/>
    </xf>
    <xf numFmtId="0" fontId="5" fillId="15" borderId="19" xfId="0" applyFont="1" applyFill="1" applyBorder="1" applyAlignment="1">
      <alignment horizontal="center" vertical="center"/>
    </xf>
    <xf numFmtId="0" fontId="5" fillId="15" borderId="20" xfId="0" applyFont="1" applyFill="1" applyBorder="1" applyAlignment="1">
      <alignment horizontal="center" vertical="center"/>
    </xf>
    <xf numFmtId="0" fontId="5" fillId="15" borderId="21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 wrapText="1"/>
    </xf>
    <xf numFmtId="0" fontId="0" fillId="16" borderId="15" xfId="0" applyFill="1" applyBorder="1" applyAlignment="1">
      <alignment horizontal="center" vertical="center" wrapText="1"/>
    </xf>
    <xf numFmtId="0" fontId="0" fillId="16" borderId="16" xfId="0" applyFill="1" applyBorder="1" applyAlignment="1">
      <alignment horizontal="center" vertical="center" wrapText="1"/>
    </xf>
    <xf numFmtId="0" fontId="0" fillId="16" borderId="17" xfId="0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16" borderId="18" xfId="0" applyFill="1" applyBorder="1" applyAlignment="1">
      <alignment horizontal="center" vertical="center" wrapText="1"/>
    </xf>
    <xf numFmtId="0" fontId="0" fillId="16" borderId="19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 wrapText="1"/>
    </xf>
    <xf numFmtId="0" fontId="5" fillId="15" borderId="16" xfId="0" applyFont="1" applyFill="1" applyBorder="1" applyAlignment="1">
      <alignment horizontal="center" vertical="center" wrapText="1"/>
    </xf>
    <xf numFmtId="0" fontId="13" fillId="16" borderId="14" xfId="0" applyFont="1" applyFill="1" applyBorder="1" applyAlignment="1">
      <alignment horizontal="center" vertical="center"/>
    </xf>
    <xf numFmtId="0" fontId="13" fillId="16" borderId="15" xfId="0" applyFont="1" applyFill="1" applyBorder="1" applyAlignment="1">
      <alignment horizontal="center" vertical="center"/>
    </xf>
    <xf numFmtId="0" fontId="13" fillId="16" borderId="16" xfId="0" applyFont="1" applyFill="1" applyBorder="1" applyAlignment="1">
      <alignment horizontal="center" vertical="center"/>
    </xf>
    <xf numFmtId="0" fontId="13" fillId="16" borderId="19" xfId="0" applyFont="1" applyFill="1" applyBorder="1" applyAlignment="1">
      <alignment horizontal="center" vertical="center"/>
    </xf>
    <xf numFmtId="0" fontId="13" fillId="16" borderId="20" xfId="0" applyFont="1" applyFill="1" applyBorder="1" applyAlignment="1">
      <alignment horizontal="center" vertical="center"/>
    </xf>
    <xf numFmtId="0" fontId="13" fillId="16" borderId="21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13" fillId="18" borderId="14" xfId="0" applyFont="1" applyFill="1" applyBorder="1" applyAlignment="1">
      <alignment horizontal="center" vertical="center"/>
    </xf>
    <xf numFmtId="0" fontId="13" fillId="18" borderId="15" xfId="0" applyFont="1" applyFill="1" applyBorder="1" applyAlignment="1">
      <alignment horizontal="center" vertical="center"/>
    </xf>
    <xf numFmtId="0" fontId="13" fillId="18" borderId="16" xfId="0" applyFont="1" applyFill="1" applyBorder="1" applyAlignment="1">
      <alignment horizontal="center" vertical="center"/>
    </xf>
    <xf numFmtId="0" fontId="13" fillId="18" borderId="19" xfId="0" applyFont="1" applyFill="1" applyBorder="1" applyAlignment="1">
      <alignment horizontal="center" vertical="center"/>
    </xf>
    <xf numFmtId="0" fontId="13" fillId="18" borderId="20" xfId="0" applyFont="1" applyFill="1" applyBorder="1" applyAlignment="1">
      <alignment horizontal="center" vertical="center"/>
    </xf>
    <xf numFmtId="0" fontId="13" fillId="18" borderId="2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9" fillId="2" borderId="3" xfId="3" applyFont="1" applyFill="1" applyBorder="1" applyAlignment="1" applyProtection="1">
      <alignment horizontal="center"/>
      <protection hidden="1"/>
    </xf>
    <xf numFmtId="0" fontId="9" fillId="2" borderId="4" xfId="3" applyFont="1" applyFill="1" applyBorder="1" applyAlignment="1" applyProtection="1">
      <alignment horizontal="center"/>
      <protection hidden="1"/>
    </xf>
    <xf numFmtId="0" fontId="9" fillId="2" borderId="5" xfId="3" applyFont="1" applyFill="1" applyBorder="1" applyAlignment="1" applyProtection="1">
      <alignment horizontal="center"/>
      <protection hidden="1"/>
    </xf>
    <xf numFmtId="0" fontId="16" fillId="12" borderId="14" xfId="3" applyFont="1" applyFill="1" applyBorder="1" applyAlignment="1" applyProtection="1">
      <alignment horizontal="center"/>
      <protection hidden="1"/>
    </xf>
    <xf numFmtId="0" fontId="16" fillId="12" borderId="15" xfId="3" applyFont="1" applyFill="1" applyBorder="1" applyAlignment="1" applyProtection="1">
      <alignment horizontal="center"/>
      <protection hidden="1"/>
    </xf>
    <xf numFmtId="0" fontId="16" fillId="12" borderId="16" xfId="3" applyFont="1" applyFill="1" applyBorder="1" applyAlignment="1" applyProtection="1">
      <alignment horizontal="center"/>
      <protection hidden="1"/>
    </xf>
    <xf numFmtId="0" fontId="9" fillId="2" borderId="15" xfId="3" applyFont="1" applyFill="1" applyBorder="1" applyAlignment="1" applyProtection="1">
      <alignment horizontal="center"/>
      <protection hidden="1"/>
    </xf>
    <xf numFmtId="0" fontId="16" fillId="12" borderId="34" xfId="3" applyFont="1" applyFill="1" applyBorder="1" applyAlignment="1" applyProtection="1">
      <alignment horizontal="center"/>
      <protection hidden="1"/>
    </xf>
    <xf numFmtId="0" fontId="11" fillId="0" borderId="4" xfId="3" applyFont="1" applyBorder="1" applyAlignment="1" applyProtection="1">
      <alignment horizontal="center"/>
      <protection hidden="1"/>
    </xf>
    <xf numFmtId="0" fontId="11" fillId="0" borderId="14" xfId="3" applyFont="1" applyBorder="1" applyAlignment="1" applyProtection="1">
      <alignment horizontal="center"/>
      <protection hidden="1"/>
    </xf>
    <xf numFmtId="0" fontId="11" fillId="0" borderId="17" xfId="3" applyFont="1" applyBorder="1" applyAlignment="1" applyProtection="1">
      <alignment horizontal="center"/>
      <protection hidden="1"/>
    </xf>
    <xf numFmtId="0" fontId="11" fillId="0" borderId="19" xfId="3" applyFont="1" applyBorder="1" applyAlignment="1" applyProtection="1">
      <alignment horizontal="center"/>
      <protection hidden="1"/>
    </xf>
    <xf numFmtId="0" fontId="11" fillId="0" borderId="16" xfId="3" applyFont="1" applyBorder="1" applyAlignment="1" applyProtection="1">
      <alignment horizontal="center"/>
      <protection hidden="1"/>
    </xf>
    <xf numFmtId="0" fontId="11" fillId="0" borderId="18" xfId="3" applyFont="1" applyBorder="1" applyAlignment="1" applyProtection="1">
      <alignment horizontal="center"/>
      <protection hidden="1"/>
    </xf>
    <xf numFmtId="0" fontId="11" fillId="0" borderId="21" xfId="3" applyFont="1" applyBorder="1" applyAlignment="1" applyProtection="1">
      <alignment horizontal="center"/>
      <protection hidden="1"/>
    </xf>
    <xf numFmtId="0" fontId="11" fillId="0" borderId="40" xfId="3" applyFont="1" applyBorder="1" applyAlignment="1" applyProtection="1">
      <alignment horizontal="center"/>
      <protection hidden="1"/>
    </xf>
    <xf numFmtId="0" fontId="11" fillId="0" borderId="42" xfId="3" applyFont="1" applyBorder="1" applyAlignment="1" applyProtection="1">
      <alignment horizontal="center"/>
      <protection hidden="1"/>
    </xf>
    <xf numFmtId="0" fontId="11" fillId="0" borderId="0" xfId="3" applyFont="1" applyAlignment="1" applyProtection="1">
      <alignment horizontal="center"/>
      <protection hidden="1"/>
    </xf>
    <xf numFmtId="0" fontId="11" fillId="0" borderId="20" xfId="3" applyFont="1" applyBorder="1" applyAlignment="1" applyProtection="1">
      <alignment horizontal="center"/>
      <protection hidden="1"/>
    </xf>
    <xf numFmtId="0" fontId="11" fillId="0" borderId="15" xfId="3" applyFont="1" applyBorder="1" applyAlignment="1" applyProtection="1">
      <alignment horizontal="center"/>
      <protection hidden="1"/>
    </xf>
    <xf numFmtId="0" fontId="3" fillId="2" borderId="3" xfId="3" applyFont="1" applyFill="1" applyBorder="1" applyAlignment="1" applyProtection="1">
      <alignment horizontal="center"/>
      <protection hidden="1"/>
    </xf>
    <xf numFmtId="0" fontId="3" fillId="2" borderId="4" xfId="3" applyFont="1" applyFill="1" applyBorder="1" applyAlignment="1" applyProtection="1">
      <alignment horizontal="center"/>
      <protection hidden="1"/>
    </xf>
    <xf numFmtId="0" fontId="3" fillId="2" borderId="5" xfId="3" applyFont="1" applyFill="1" applyBorder="1" applyAlignment="1" applyProtection="1">
      <alignment horizontal="center"/>
      <protection hidden="1"/>
    </xf>
    <xf numFmtId="0" fontId="11" fillId="0" borderId="5" xfId="3" applyFont="1" applyBorder="1" applyAlignment="1" applyProtection="1">
      <alignment horizontal="center"/>
      <protection hidden="1"/>
    </xf>
    <xf numFmtId="0" fontId="11" fillId="0" borderId="43" xfId="3" applyFont="1" applyBorder="1" applyAlignment="1" applyProtection="1">
      <alignment horizontal="center"/>
      <protection hidden="1"/>
    </xf>
    <xf numFmtId="0" fontId="17" fillId="10" borderId="14" xfId="5" applyFont="1" applyFill="1" applyBorder="1" applyAlignment="1" applyProtection="1">
      <alignment horizontal="center"/>
      <protection hidden="1"/>
    </xf>
    <xf numFmtId="0" fontId="17" fillId="10" borderId="15" xfId="5" applyFont="1" applyFill="1" applyBorder="1" applyAlignment="1" applyProtection="1">
      <alignment horizontal="center"/>
      <protection hidden="1"/>
    </xf>
    <xf numFmtId="0" fontId="17" fillId="10" borderId="16" xfId="5" applyFont="1" applyFill="1" applyBorder="1" applyAlignment="1" applyProtection="1">
      <alignment horizontal="center"/>
      <protection hidden="1"/>
    </xf>
    <xf numFmtId="0" fontId="19" fillId="10" borderId="17" xfId="6" applyFont="1" applyFill="1" applyBorder="1" applyAlignment="1" applyProtection="1">
      <alignment horizontal="center" vertical="center"/>
      <protection hidden="1"/>
    </xf>
    <xf numFmtId="0" fontId="20" fillId="10" borderId="0" xfId="5" applyFont="1" applyFill="1" applyAlignment="1" applyProtection="1">
      <alignment horizontal="center" vertical="center"/>
      <protection hidden="1"/>
    </xf>
    <xf numFmtId="0" fontId="20" fillId="10" borderId="17" xfId="5" applyFont="1" applyFill="1" applyBorder="1" applyAlignment="1" applyProtection="1">
      <alignment horizontal="center" vertical="center"/>
      <protection hidden="1"/>
    </xf>
    <xf numFmtId="0" fontId="21" fillId="11" borderId="0" xfId="5" applyFont="1" applyFill="1" applyAlignment="1" applyProtection="1">
      <alignment horizontal="center" vertical="center"/>
      <protection hidden="1"/>
    </xf>
    <xf numFmtId="0" fontId="21" fillId="11" borderId="18" xfId="5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6" fillId="10" borderId="0" xfId="5" applyFont="1" applyFill="1" applyAlignment="1" applyProtection="1">
      <alignment horizontal="center" vertical="center"/>
      <protection hidden="1"/>
    </xf>
    <xf numFmtId="0" fontId="26" fillId="10" borderId="18" xfId="5" applyFont="1" applyFill="1" applyBorder="1" applyAlignment="1" applyProtection="1">
      <alignment horizontal="center" vertical="center"/>
      <protection hidden="1"/>
    </xf>
    <xf numFmtId="0" fontId="28" fillId="10" borderId="17" xfId="5" applyFont="1" applyFill="1" applyBorder="1" applyAlignment="1" applyProtection="1">
      <alignment horizontal="center"/>
      <protection hidden="1"/>
    </xf>
    <xf numFmtId="0" fontId="28" fillId="10" borderId="0" xfId="5" applyFont="1" applyFill="1" applyAlignment="1" applyProtection="1">
      <alignment horizontal="center"/>
      <protection hidden="1"/>
    </xf>
    <xf numFmtId="0" fontId="28" fillId="10" borderId="18" xfId="5" applyFont="1" applyFill="1" applyBorder="1" applyAlignment="1" applyProtection="1">
      <alignment horizontal="center"/>
      <protection hidden="1"/>
    </xf>
    <xf numFmtId="0" fontId="16" fillId="0" borderId="3" xfId="3" applyFont="1" applyBorder="1" applyAlignment="1" applyProtection="1">
      <alignment horizontal="center"/>
      <protection hidden="1"/>
    </xf>
    <xf numFmtId="0" fontId="16" fillId="0" borderId="4" xfId="3" applyFont="1" applyBorder="1" applyAlignment="1" applyProtection="1">
      <alignment horizontal="center"/>
      <protection hidden="1"/>
    </xf>
    <xf numFmtId="0" fontId="16" fillId="0" borderId="5" xfId="3" applyFont="1" applyBorder="1" applyAlignment="1" applyProtection="1">
      <alignment horizontal="center"/>
      <protection hidden="1"/>
    </xf>
  </cellXfs>
  <cellStyles count="7">
    <cellStyle name="Lien hypertexte 2" xfId="6" xr:uid="{7DB2EE04-F387-4C1A-B30A-1608DC2CC016}"/>
    <cellStyle name="Monétaire" xfId="1" builtinId="4"/>
    <cellStyle name="Normal" xfId="0" builtinId="0"/>
    <cellStyle name="Normal 2" xfId="3" xr:uid="{E5317AC8-BE8E-4A58-A056-E5C68CECB46A}"/>
    <cellStyle name="Normal 3" xfId="5" xr:uid="{FB52C553-E5CB-4E34-9865-2BA7CC64987C}"/>
    <cellStyle name="Pourcentage" xfId="2" builtinId="5"/>
    <cellStyle name="Pourcentage 2" xfId="4" xr:uid="{7D44687D-9040-413A-9874-8316393120C3}"/>
  </cellStyles>
  <dxfs count="0"/>
  <tableStyles count="0" defaultTableStyle="TableStyleMedium2" defaultPivotStyle="PivotStyleLight16"/>
  <colors>
    <mruColors>
      <color rgb="FFDFC341"/>
      <color rgb="FF213444"/>
      <color rgb="FFF2CA00"/>
      <color rgb="FFA17B64"/>
      <color rgb="FFFFFFFF"/>
      <color rgb="FF8393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svg"/><Relationship Id="rId7" Type="http://schemas.openxmlformats.org/officeDocument/2006/relationships/image" Target="../media/image10.sv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svg"/><Relationship Id="rId4" Type="http://schemas.openxmlformats.org/officeDocument/2006/relationships/image" Target="../media/image7.png"/><Relationship Id="rId9" Type="http://schemas.openxmlformats.org/officeDocument/2006/relationships/image" Target="../media/image12.sv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8964</xdr:rowOff>
    </xdr:from>
    <xdr:to>
      <xdr:col>14</xdr:col>
      <xdr:colOff>8966</xdr:colOff>
      <xdr:row>30</xdr:row>
      <xdr:rowOff>161363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2DBE5FDF-9A00-4782-AE55-FE27FBB5E9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2" b="13610"/>
        <a:stretch/>
      </xdr:blipFill>
      <xdr:spPr>
        <a:xfrm>
          <a:off x="346364" y="978782"/>
          <a:ext cx="10995620" cy="5209308"/>
        </a:xfrm>
        <a:prstGeom prst="rect">
          <a:avLst/>
        </a:prstGeom>
      </xdr:spPr>
    </xdr:pic>
    <xdr:clientData/>
  </xdr:twoCellAnchor>
  <xdr:twoCellAnchor>
    <xdr:from>
      <xdr:col>5</xdr:col>
      <xdr:colOff>748554</xdr:colOff>
      <xdr:row>5</xdr:row>
      <xdr:rowOff>188259</xdr:rowOff>
    </xdr:from>
    <xdr:to>
      <xdr:col>9</xdr:col>
      <xdr:colOff>103094</xdr:colOff>
      <xdr:row>18</xdr:row>
      <xdr:rowOff>134471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E9D776C-9873-411F-849E-85543B35BCF3}"/>
            </a:ext>
          </a:extLst>
        </xdr:cNvPr>
        <xdr:cNvSpPr/>
      </xdr:nvSpPr>
      <xdr:spPr>
        <a:xfrm>
          <a:off x="4459942" y="1174377"/>
          <a:ext cx="2725270" cy="2725270"/>
        </a:xfrm>
        <a:prstGeom prst="rect">
          <a:avLst/>
        </a:prstGeom>
        <a:solidFill>
          <a:schemeClr val="bg1">
            <a:alpha val="50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578225</xdr:colOff>
      <xdr:row>19</xdr:row>
      <xdr:rowOff>89647</xdr:rowOff>
    </xdr:from>
    <xdr:to>
      <xdr:col>12</xdr:col>
      <xdr:colOff>273423</xdr:colOff>
      <xdr:row>28</xdr:row>
      <xdr:rowOff>152399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70357D2-4D17-4EC0-91F1-41528DA9ABE6}"/>
            </a:ext>
          </a:extLst>
        </xdr:cNvPr>
        <xdr:cNvSpPr/>
      </xdr:nvSpPr>
      <xdr:spPr>
        <a:xfrm>
          <a:off x="1769716" y="3982774"/>
          <a:ext cx="8146471" cy="1808425"/>
        </a:xfrm>
        <a:prstGeom prst="rect">
          <a:avLst/>
        </a:prstGeom>
        <a:solidFill>
          <a:srgbClr val="DFC341"/>
        </a:solidFill>
        <a:ln w="38100">
          <a:solidFill>
            <a:srgbClr val="21344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3200">
              <a:solidFill>
                <a:srgbClr val="002060"/>
              </a:solidFill>
            </a:rPr>
            <a:t>M. LE CORRE Yannis</a:t>
          </a:r>
          <a:endParaRPr lang="fr-FR" sz="3200" baseline="0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6</xdr:col>
      <xdr:colOff>188259</xdr:colOff>
      <xdr:row>6</xdr:row>
      <xdr:rowOff>233082</xdr:rowOff>
    </xdr:from>
    <xdr:to>
      <xdr:col>8</xdr:col>
      <xdr:colOff>656418</xdr:colOff>
      <xdr:row>17</xdr:row>
      <xdr:rowOff>57731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A492EC52-87AD-4119-93D0-EAA2499FD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2330" y="1416423"/>
          <a:ext cx="2153523" cy="22092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87587</xdr:colOff>
      <xdr:row>1</xdr:row>
      <xdr:rowOff>43794</xdr:rowOff>
    </xdr:from>
    <xdr:to>
      <xdr:col>1</xdr:col>
      <xdr:colOff>482355</xdr:colOff>
      <xdr:row>2</xdr:row>
      <xdr:rowOff>194779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4451896-10F9-45B9-81A8-1FF01992F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035" y="78828"/>
          <a:ext cx="394768" cy="404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119270</xdr:colOff>
      <xdr:row>1</xdr:row>
      <xdr:rowOff>46382</xdr:rowOff>
    </xdr:from>
    <xdr:to>
      <xdr:col>1</xdr:col>
      <xdr:colOff>514038</xdr:colOff>
      <xdr:row>2</xdr:row>
      <xdr:rowOff>199576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4352230-13C9-4109-B533-24E6C96E9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722" y="86139"/>
          <a:ext cx="394768" cy="404985"/>
        </a:xfrm>
        <a:prstGeom prst="rect">
          <a:avLst/>
        </a:prstGeom>
      </xdr:spPr>
    </xdr:pic>
    <xdr:clientData/>
  </xdr:twoCellAnchor>
  <xdr:twoCellAnchor editAs="oneCell">
    <xdr:from>
      <xdr:col>1</xdr:col>
      <xdr:colOff>145773</xdr:colOff>
      <xdr:row>33</xdr:row>
      <xdr:rowOff>46382</xdr:rowOff>
    </xdr:from>
    <xdr:to>
      <xdr:col>1</xdr:col>
      <xdr:colOff>540541</xdr:colOff>
      <xdr:row>34</xdr:row>
      <xdr:rowOff>199575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F8D8D7C-C365-4579-814E-14B93C799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25" y="4956312"/>
          <a:ext cx="394768" cy="404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1</xdr:col>
      <xdr:colOff>470968</xdr:colOff>
      <xdr:row>2</xdr:row>
      <xdr:rowOff>191625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77EB321-89CE-475C-A8F8-8CB17A5E6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" y="76200"/>
          <a:ext cx="394768" cy="4049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187036</xdr:colOff>
      <xdr:row>1</xdr:row>
      <xdr:rowOff>55418</xdr:rowOff>
    </xdr:from>
    <xdr:to>
      <xdr:col>1</xdr:col>
      <xdr:colOff>581804</xdr:colOff>
      <xdr:row>2</xdr:row>
      <xdr:rowOff>211022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5C18D9-3C50-43C8-AF0F-650B951B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091" y="96982"/>
          <a:ext cx="394768" cy="4049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401981</xdr:colOff>
      <xdr:row>1</xdr:row>
      <xdr:rowOff>35249</xdr:rowOff>
    </xdr:from>
    <xdr:to>
      <xdr:col>9</xdr:col>
      <xdr:colOff>768874</xdr:colOff>
      <xdr:row>3</xdr:row>
      <xdr:rowOff>5433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59772" y="68379"/>
          <a:ext cx="366893" cy="3743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99391</xdr:colOff>
      <xdr:row>1</xdr:row>
      <xdr:rowOff>53008</xdr:rowOff>
    </xdr:from>
    <xdr:to>
      <xdr:col>1</xdr:col>
      <xdr:colOff>494159</xdr:colOff>
      <xdr:row>2</xdr:row>
      <xdr:rowOff>206202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006CC38-EC49-4E09-971F-EBAE44197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704" y="106017"/>
          <a:ext cx="394768" cy="4049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972357</xdr:colOff>
      <xdr:row>3</xdr:row>
      <xdr:rowOff>30480</xdr:rowOff>
    </xdr:from>
    <xdr:to>
      <xdr:col>14</xdr:col>
      <xdr:colOff>1406601</xdr:colOff>
      <xdr:row>4</xdr:row>
      <xdr:rowOff>184484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4241" y="543827"/>
          <a:ext cx="434244" cy="422710"/>
        </a:xfrm>
        <a:prstGeom prst="rect">
          <a:avLst/>
        </a:prstGeom>
      </xdr:spPr>
    </xdr:pic>
    <xdr:clientData/>
  </xdr:twoCellAnchor>
  <xdr:twoCellAnchor>
    <xdr:from>
      <xdr:col>1</xdr:col>
      <xdr:colOff>819972</xdr:colOff>
      <xdr:row>11</xdr:row>
      <xdr:rowOff>53274</xdr:rowOff>
    </xdr:from>
    <xdr:to>
      <xdr:col>2</xdr:col>
      <xdr:colOff>817980</xdr:colOff>
      <xdr:row>15</xdr:row>
      <xdr:rowOff>61442</xdr:rowOff>
    </xdr:to>
    <xdr:sp macro="" textlink="">
      <xdr:nvSpPr>
        <xdr:cNvPr id="8" name="Rectangle 7" descr="Money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671619" y="2240662"/>
          <a:ext cx="849655" cy="797062"/>
        </a:xfrm>
        <a:prstGeom prst="rect">
          <a:avLst/>
        </a:prstGeom>
        <a:blipFill>
          <a:blip xmlns:r="http://schemas.openxmlformats.org/officeDocument/2006/relationships" r:embed="rId2">
            <a:duotone>
              <a:schemeClr val="accent5">
                <a:hueOff val="0"/>
                <a:satOff val="0"/>
                <a:lumOff val="0"/>
                <a:alphaOff val="0"/>
                <a:shade val="20000"/>
                <a:satMod val="200000"/>
              </a:schemeClr>
              <a:schemeClr val="accent5">
                <a:hueOff val="0"/>
                <a:satOff val="0"/>
                <a:lumOff val="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5</xdr:col>
      <xdr:colOff>815549</xdr:colOff>
      <xdr:row>11</xdr:row>
      <xdr:rowOff>20320</xdr:rowOff>
    </xdr:from>
    <xdr:to>
      <xdr:col>6</xdr:col>
      <xdr:colOff>813557</xdr:colOff>
      <xdr:row>15</xdr:row>
      <xdr:rowOff>28488</xdr:rowOff>
    </xdr:to>
    <xdr:sp macro="" textlink="">
      <xdr:nvSpPr>
        <xdr:cNvPr id="9" name="Rectangle 8" descr="Checkmark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4300429" y="2275840"/>
          <a:ext cx="820968" cy="820968"/>
        </a:xfrm>
        <a:prstGeom prst="rect">
          <a:avLst/>
        </a:prstGeom>
        <a:blipFill>
          <a:blip xmlns:r="http://schemas.openxmlformats.org/officeDocument/2006/relationships" r:embed="rId4">
            <a:duotone>
              <a:schemeClr val="accent5">
                <a:hueOff val="-2252848"/>
                <a:satOff val="-5806"/>
                <a:lumOff val="-3922"/>
                <a:alphaOff val="0"/>
                <a:shade val="20000"/>
                <a:satMod val="200000"/>
              </a:schemeClr>
              <a:schemeClr val="accent5">
                <a:hueOff val="-2252848"/>
                <a:satOff val="-5806"/>
                <a:lumOff val="-392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2252848"/>
            <a:satOff val="-5806"/>
            <a:lumOff val="-3922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9</xdr:col>
      <xdr:colOff>767303</xdr:colOff>
      <xdr:row>11</xdr:row>
      <xdr:rowOff>40655</xdr:rowOff>
    </xdr:from>
    <xdr:to>
      <xdr:col>10</xdr:col>
      <xdr:colOff>765311</xdr:colOff>
      <xdr:row>15</xdr:row>
      <xdr:rowOff>48823</xdr:rowOff>
    </xdr:to>
    <xdr:sp macro="" textlink="">
      <xdr:nvSpPr>
        <xdr:cNvPr id="10" name="Rectangle 9" descr="Coins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6853143" y="2296175"/>
          <a:ext cx="820968" cy="820968"/>
        </a:xfrm>
        <a:prstGeom prst="rect">
          <a:avLst/>
        </a:prstGeom>
        <a:blipFill>
          <a:blip xmlns:r="http://schemas.openxmlformats.org/officeDocument/2006/relationships" r:embed="rId6">
            <a:duotone>
              <a:schemeClr val="accent5">
                <a:hueOff val="-4505695"/>
                <a:satOff val="-11613"/>
                <a:lumOff val="-7843"/>
                <a:alphaOff val="0"/>
                <a:shade val="20000"/>
                <a:satMod val="200000"/>
              </a:schemeClr>
              <a:schemeClr val="accent5">
                <a:hueOff val="-4505695"/>
                <a:satOff val="-11613"/>
                <a:lumOff val="-784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4505695"/>
            <a:satOff val="-11613"/>
            <a:lumOff val="-7843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13</xdr:col>
      <xdr:colOff>744860</xdr:colOff>
      <xdr:row>11</xdr:row>
      <xdr:rowOff>89747</xdr:rowOff>
    </xdr:from>
    <xdr:to>
      <xdr:col>14</xdr:col>
      <xdr:colOff>742868</xdr:colOff>
      <xdr:row>15</xdr:row>
      <xdr:rowOff>97915</xdr:rowOff>
    </xdr:to>
    <xdr:sp macro="" textlink="">
      <xdr:nvSpPr>
        <xdr:cNvPr id="11" name="Rectangle 10" descr="Gears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9745425" y="2277135"/>
          <a:ext cx="849655" cy="797062"/>
        </a:xfrm>
        <a:prstGeom prst="rect">
          <a:avLst/>
        </a:prstGeom>
        <a:blipFill>
          <a:blip xmlns:r="http://schemas.openxmlformats.org/officeDocument/2006/relationships" r:embed="rId8">
            <a:duotone>
              <a:schemeClr val="accent5">
                <a:hueOff val="-6758543"/>
                <a:satOff val="-17419"/>
                <a:lumOff val="-11765"/>
                <a:alphaOff val="0"/>
                <a:shade val="20000"/>
                <a:satMod val="200000"/>
              </a:schemeClr>
              <a:schemeClr val="accent5">
                <a:hueOff val="-6758543"/>
                <a:satOff val="-17419"/>
                <a:lumOff val="-1176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6758543"/>
            <a:satOff val="-17419"/>
            <a:lumOff val="-11765"/>
            <a:alphaOff val="0"/>
          </a:schemeClr>
        </a:effectRef>
        <a:fontRef idx="minor">
          <a:schemeClr val="lt1"/>
        </a:fontRef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205154</xdr:colOff>
      <xdr:row>1</xdr:row>
      <xdr:rowOff>46892</xdr:rowOff>
    </xdr:from>
    <xdr:to>
      <xdr:col>1</xdr:col>
      <xdr:colOff>599922</xdr:colOff>
      <xdr:row>2</xdr:row>
      <xdr:rowOff>199831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81501C0-4298-4BC0-917A-646633C30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354" y="252046"/>
          <a:ext cx="394768" cy="404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orrigetonimpot.fr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corrigetonimpot.f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AA00-2427-4815-BD36-4C74C4FBBE03}">
  <dimension ref="A1:O23"/>
  <sheetViews>
    <sheetView workbookViewId="0">
      <selection sqref="A1:O23"/>
    </sheetView>
  </sheetViews>
  <sheetFormatPr baseColWidth="10" defaultColWidth="11" defaultRowHeight="15.6" x14ac:dyDescent="0.3"/>
  <sheetData>
    <row r="1" spans="1:15" x14ac:dyDescent="0.3">
      <c r="A1" s="307"/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</row>
    <row r="2" spans="1:15" x14ac:dyDescent="0.3">
      <c r="A2" s="307"/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</row>
    <row r="3" spans="1:15" x14ac:dyDescent="0.3">
      <c r="A3" s="307"/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</row>
    <row r="4" spans="1:15" x14ac:dyDescent="0.3">
      <c r="A4" s="307"/>
      <c r="B4" s="307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  <c r="O4" s="307"/>
    </row>
    <row r="5" spans="1:15" x14ac:dyDescent="0.3">
      <c r="A5" s="307"/>
      <c r="B5" s="307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  <c r="O5" s="307"/>
    </row>
    <row r="6" spans="1:15" x14ac:dyDescent="0.3">
      <c r="A6" s="307"/>
      <c r="B6" s="307"/>
      <c r="C6" s="307"/>
      <c r="D6" s="307"/>
      <c r="E6" s="307"/>
      <c r="F6" s="307"/>
      <c r="G6" s="307"/>
      <c r="H6" s="307"/>
      <c r="I6" s="307"/>
      <c r="J6" s="307"/>
      <c r="K6" s="307"/>
      <c r="L6" s="307"/>
      <c r="M6" s="307"/>
      <c r="N6" s="307"/>
      <c r="O6" s="307"/>
    </row>
    <row r="7" spans="1:15" x14ac:dyDescent="0.3">
      <c r="A7" s="307"/>
      <c r="B7" s="307"/>
      <c r="C7" s="307"/>
      <c r="D7" s="307"/>
      <c r="E7" s="307"/>
      <c r="F7" s="307"/>
      <c r="G7" s="307"/>
      <c r="H7" s="307"/>
      <c r="I7" s="307"/>
      <c r="J7" s="307"/>
      <c r="K7" s="307"/>
      <c r="L7" s="307"/>
      <c r="M7" s="307"/>
      <c r="N7" s="307"/>
      <c r="O7" s="307"/>
    </row>
    <row r="8" spans="1:15" x14ac:dyDescent="0.3">
      <c r="A8" s="307"/>
      <c r="B8" s="307"/>
      <c r="C8" s="307"/>
      <c r="D8" s="307"/>
      <c r="E8" s="307"/>
      <c r="F8" s="307"/>
      <c r="G8" s="307"/>
      <c r="H8" s="307"/>
      <c r="I8" s="307"/>
      <c r="J8" s="307"/>
      <c r="K8" s="307"/>
      <c r="L8" s="307"/>
      <c r="M8" s="307"/>
      <c r="N8" s="307"/>
      <c r="O8" s="307"/>
    </row>
    <row r="9" spans="1:15" x14ac:dyDescent="0.3">
      <c r="A9" s="307"/>
      <c r="B9" s="307"/>
      <c r="C9" s="307"/>
      <c r="D9" s="307"/>
      <c r="E9" s="307"/>
      <c r="F9" s="307"/>
      <c r="G9" s="307"/>
      <c r="H9" s="307"/>
      <c r="I9" s="307"/>
      <c r="J9" s="307"/>
      <c r="K9" s="307"/>
      <c r="L9" s="307"/>
      <c r="M9" s="307"/>
      <c r="N9" s="307"/>
      <c r="O9" s="307"/>
    </row>
    <row r="10" spans="1:15" x14ac:dyDescent="0.3">
      <c r="A10" s="307"/>
      <c r="B10" s="307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307"/>
      <c r="N10" s="307"/>
      <c r="O10" s="307"/>
    </row>
    <row r="11" spans="1:15" x14ac:dyDescent="0.3">
      <c r="A11" s="307"/>
      <c r="B11" s="307"/>
      <c r="C11" s="307"/>
      <c r="D11" s="307"/>
      <c r="E11" s="307"/>
      <c r="F11" s="307"/>
      <c r="G11" s="307"/>
      <c r="H11" s="307"/>
      <c r="I11" s="307"/>
      <c r="J11" s="307"/>
      <c r="K11" s="307"/>
      <c r="L11" s="307"/>
      <c r="M11" s="307"/>
      <c r="N11" s="307"/>
      <c r="O11" s="307"/>
    </row>
    <row r="12" spans="1:15" x14ac:dyDescent="0.3">
      <c r="A12" s="307"/>
      <c r="B12" s="307"/>
      <c r="C12" s="307"/>
      <c r="D12" s="307"/>
      <c r="E12" s="307"/>
      <c r="F12" s="307"/>
      <c r="G12" s="307"/>
      <c r="H12" s="307"/>
      <c r="I12" s="307"/>
      <c r="J12" s="307"/>
      <c r="K12" s="307"/>
      <c r="L12" s="307"/>
      <c r="M12" s="307"/>
      <c r="N12" s="307"/>
      <c r="O12" s="307"/>
    </row>
    <row r="13" spans="1:15" x14ac:dyDescent="0.3">
      <c r="A13" s="307"/>
      <c r="B13" s="307"/>
      <c r="C13" s="307"/>
      <c r="D13" s="307"/>
      <c r="E13" s="307"/>
      <c r="F13" s="307"/>
      <c r="G13" s="307"/>
      <c r="H13" s="307"/>
      <c r="I13" s="307"/>
      <c r="J13" s="307"/>
      <c r="K13" s="307"/>
      <c r="L13" s="307"/>
      <c r="M13" s="307"/>
      <c r="N13" s="307"/>
      <c r="O13" s="307"/>
    </row>
    <row r="14" spans="1:15" x14ac:dyDescent="0.3">
      <c r="A14" s="307"/>
      <c r="B14" s="307"/>
      <c r="C14" s="307"/>
      <c r="D14" s="307"/>
      <c r="E14" s="307"/>
      <c r="F14" s="307"/>
      <c r="G14" s="307"/>
      <c r="H14" s="307"/>
      <c r="I14" s="307"/>
      <c r="J14" s="307"/>
      <c r="K14" s="307"/>
      <c r="L14" s="307"/>
      <c r="M14" s="307"/>
      <c r="N14" s="307"/>
      <c r="O14" s="307"/>
    </row>
    <row r="15" spans="1:15" x14ac:dyDescent="0.3">
      <c r="A15" s="307"/>
      <c r="B15" s="307"/>
      <c r="C15" s="307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307"/>
      <c r="O15" s="307"/>
    </row>
    <row r="16" spans="1:15" x14ac:dyDescent="0.3">
      <c r="A16" s="307"/>
      <c r="B16" s="307"/>
      <c r="C16" s="307"/>
      <c r="D16" s="307"/>
      <c r="E16" s="307"/>
      <c r="F16" s="307"/>
      <c r="G16" s="307"/>
      <c r="H16" s="307"/>
      <c r="I16" s="307"/>
      <c r="J16" s="307"/>
      <c r="K16" s="307"/>
      <c r="L16" s="307"/>
      <c r="M16" s="307"/>
      <c r="N16" s="307"/>
      <c r="O16" s="307"/>
    </row>
    <row r="17" spans="1:15" x14ac:dyDescent="0.3">
      <c r="A17" s="307"/>
      <c r="B17" s="307"/>
      <c r="C17" s="307"/>
      <c r="D17" s="307"/>
      <c r="E17" s="307"/>
      <c r="F17" s="307"/>
      <c r="G17" s="307"/>
      <c r="H17" s="307"/>
      <c r="I17" s="307"/>
      <c r="J17" s="307"/>
      <c r="K17" s="307"/>
      <c r="L17" s="307"/>
      <c r="M17" s="307"/>
      <c r="N17" s="307"/>
      <c r="O17" s="307"/>
    </row>
    <row r="18" spans="1:15" x14ac:dyDescent="0.3">
      <c r="A18" s="307"/>
      <c r="B18" s="307"/>
      <c r="C18" s="307"/>
      <c r="D18" s="307"/>
      <c r="E18" s="307"/>
      <c r="F18" s="307"/>
      <c r="G18" s="307"/>
      <c r="H18" s="307"/>
      <c r="I18" s="307"/>
      <c r="J18" s="307"/>
      <c r="K18" s="307"/>
      <c r="L18" s="307"/>
      <c r="M18" s="307"/>
      <c r="N18" s="307"/>
      <c r="O18" s="307"/>
    </row>
    <row r="19" spans="1:15" x14ac:dyDescent="0.3">
      <c r="A19" s="307"/>
      <c r="B19" s="307"/>
      <c r="C19" s="307"/>
      <c r="D19" s="307"/>
      <c r="E19" s="307"/>
      <c r="F19" s="307"/>
      <c r="G19" s="307"/>
      <c r="H19" s="307"/>
      <c r="I19" s="307"/>
      <c r="J19" s="307"/>
      <c r="K19" s="307"/>
      <c r="L19" s="307"/>
      <c r="M19" s="307"/>
      <c r="N19" s="307"/>
      <c r="O19" s="307"/>
    </row>
    <row r="20" spans="1:15" x14ac:dyDescent="0.3">
      <c r="A20" s="307"/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</row>
    <row r="21" spans="1:15" x14ac:dyDescent="0.3">
      <c r="A21" s="307"/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</row>
    <row r="22" spans="1:15" x14ac:dyDescent="0.3">
      <c r="A22" s="307"/>
      <c r="B22" s="307"/>
      <c r="C22" s="307"/>
      <c r="D22" s="307"/>
      <c r="E22" s="307"/>
      <c r="F22" s="307"/>
      <c r="G22" s="307"/>
      <c r="H22" s="307"/>
      <c r="I22" s="307"/>
      <c r="J22" s="307"/>
      <c r="K22" s="307"/>
      <c r="L22" s="307"/>
      <c r="M22" s="307"/>
      <c r="N22" s="307"/>
      <c r="O22" s="307"/>
    </row>
    <row r="23" spans="1:15" x14ac:dyDescent="0.3">
      <c r="A23" s="307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07"/>
    </row>
  </sheetData>
  <mergeCells count="1">
    <mergeCell ref="A1:O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11EA-2FA0-9046-B612-E754A0FF3BB5}">
  <dimension ref="B1:I11"/>
  <sheetViews>
    <sheetView showGridLines="0" zoomScale="130" zoomScaleNormal="130" workbookViewId="0">
      <selection activeCell="L9" sqref="L9"/>
    </sheetView>
  </sheetViews>
  <sheetFormatPr baseColWidth="10" defaultColWidth="11" defaultRowHeight="15.6" x14ac:dyDescent="0.3"/>
  <sheetData>
    <row r="1" spans="2:9" ht="16.2" thickBot="1" x14ac:dyDescent="0.35"/>
    <row r="2" spans="2:9" ht="19.95" customHeight="1" x14ac:dyDescent="0.3">
      <c r="B2" s="476" t="s">
        <v>165</v>
      </c>
      <c r="C2" s="477"/>
      <c r="D2" s="477"/>
      <c r="E2" s="477"/>
      <c r="F2" s="477"/>
      <c r="G2" s="477"/>
      <c r="H2" s="477"/>
      <c r="I2" s="478"/>
    </row>
    <row r="3" spans="2:9" ht="19.95" customHeight="1" thickBot="1" x14ac:dyDescent="0.35">
      <c r="B3" s="479"/>
      <c r="C3" s="480"/>
      <c r="D3" s="480"/>
      <c r="E3" s="480"/>
      <c r="F3" s="480"/>
      <c r="G3" s="480"/>
      <c r="H3" s="480"/>
      <c r="I3" s="481"/>
    </row>
    <row r="4" spans="2:9" ht="16.2" thickBot="1" x14ac:dyDescent="0.35"/>
    <row r="5" spans="2:9" ht="31.95" customHeight="1" thickBot="1" x14ac:dyDescent="0.35">
      <c r="C5" s="482" t="s">
        <v>166</v>
      </c>
      <c r="D5" s="483"/>
      <c r="E5" s="483"/>
      <c r="F5" s="483"/>
      <c r="G5" s="483"/>
      <c r="H5" s="484"/>
    </row>
    <row r="6" spans="2:9" ht="16.2" thickBot="1" x14ac:dyDescent="0.35"/>
    <row r="7" spans="2:9" ht="31.2" customHeight="1" thickBot="1" x14ac:dyDescent="0.35">
      <c r="C7" s="485" t="s">
        <v>167</v>
      </c>
      <c r="D7" s="486"/>
      <c r="E7" s="486"/>
      <c r="F7" s="486"/>
      <c r="G7" s="486"/>
      <c r="H7" s="487"/>
    </row>
    <row r="8" spans="2:9" ht="16.2" thickBot="1" x14ac:dyDescent="0.35"/>
    <row r="9" spans="2:9" ht="31.2" customHeight="1" thickBot="1" x14ac:dyDescent="0.35">
      <c r="C9" s="485" t="s">
        <v>168</v>
      </c>
      <c r="D9" s="486"/>
      <c r="E9" s="486"/>
      <c r="F9" s="486"/>
      <c r="G9" s="486"/>
      <c r="H9" s="487"/>
    </row>
    <row r="10" spans="2:9" ht="16.2" thickBot="1" x14ac:dyDescent="0.35"/>
    <row r="11" spans="2:9" ht="31.95" customHeight="1" thickBot="1" x14ac:dyDescent="0.35">
      <c r="C11" s="485" t="s">
        <v>169</v>
      </c>
      <c r="D11" s="486"/>
      <c r="E11" s="486"/>
      <c r="F11" s="486"/>
      <c r="G11" s="486"/>
      <c r="H11" s="487"/>
    </row>
  </sheetData>
  <mergeCells count="5">
    <mergeCell ref="B2:I3"/>
    <mergeCell ref="C5:H5"/>
    <mergeCell ref="C7:H7"/>
    <mergeCell ref="C9:H9"/>
    <mergeCell ref="C11:H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482F-7E61-4E13-9BAD-CADBD8A05993}">
  <dimension ref="A1:S42"/>
  <sheetViews>
    <sheetView showGridLines="0" zoomScale="85" zoomScaleNormal="85" workbookViewId="0">
      <selection activeCell="O31" sqref="O31"/>
    </sheetView>
  </sheetViews>
  <sheetFormatPr baseColWidth="10" defaultColWidth="10.19921875" defaultRowHeight="14.4" x14ac:dyDescent="0.3"/>
  <cols>
    <col min="1" max="1" width="10.19921875" style="21"/>
    <col min="2" max="3" width="11.8984375" style="21" bestFit="1" customWidth="1"/>
    <col min="4" max="4" width="10.19921875" style="21"/>
    <col min="5" max="5" width="28.19921875" style="21" customWidth="1"/>
    <col min="6" max="6" width="21.59765625" style="21" customWidth="1"/>
    <col min="7" max="7" width="2.3984375" style="21" customWidth="1"/>
    <col min="8" max="8" width="28.3984375" style="21" customWidth="1"/>
    <col min="9" max="9" width="14.09765625" style="21" bestFit="1" customWidth="1"/>
    <col min="10" max="10" width="11.8984375" style="21" bestFit="1" customWidth="1"/>
    <col min="11" max="14" width="10.19921875" style="21"/>
    <col min="15" max="15" width="24.19921875" style="21" customWidth="1"/>
    <col min="16" max="16384" width="10.19921875" style="21"/>
  </cols>
  <sheetData>
    <row r="1" spans="1:15" ht="15" thickBot="1" x14ac:dyDescent="0.35">
      <c r="A1" s="488" t="s">
        <v>170</v>
      </c>
      <c r="B1" s="489"/>
      <c r="C1" s="489"/>
      <c r="D1" s="489"/>
      <c r="E1" s="489"/>
      <c r="F1" s="489"/>
      <c r="G1" s="489"/>
      <c r="H1" s="489"/>
      <c r="I1" s="489"/>
      <c r="J1" s="490"/>
    </row>
    <row r="2" spans="1:15" ht="16.2" customHeight="1" thickBot="1" x14ac:dyDescent="0.35">
      <c r="A2" s="497"/>
      <c r="B2" s="507"/>
      <c r="C2" s="507"/>
      <c r="D2" s="507"/>
      <c r="E2" s="507"/>
      <c r="F2" s="507"/>
      <c r="G2" s="507"/>
      <c r="H2" s="496"/>
      <c r="I2" s="496"/>
      <c r="J2" s="511"/>
    </row>
    <row r="3" spans="1:15" ht="15.6" customHeight="1" thickBot="1" x14ac:dyDescent="0.35">
      <c r="A3" s="498"/>
      <c r="B3" s="491" t="s">
        <v>171</v>
      </c>
      <c r="C3" s="492"/>
      <c r="D3" s="492"/>
      <c r="E3" s="492"/>
      <c r="F3" s="493"/>
      <c r="G3" s="505"/>
      <c r="H3" s="78" t="s">
        <v>172</v>
      </c>
      <c r="I3" s="76"/>
      <c r="J3" s="157">
        <f>('Etat Civil'!H8*0.9)+('Etat Civil'!H13*0.9)+'Etat Civil'!H10+'Etat Civil'!H15+'Etat Civil'!H18-'Etat Civil'!G27</f>
        <v>77616</v>
      </c>
    </row>
    <row r="4" spans="1:15" ht="15.6" customHeight="1" thickBot="1" x14ac:dyDescent="0.35">
      <c r="A4" s="498"/>
      <c r="B4" s="57"/>
      <c r="C4" s="58"/>
      <c r="D4" s="74"/>
      <c r="E4" s="58"/>
      <c r="F4" s="59"/>
      <c r="G4" s="505"/>
      <c r="H4" s="79" t="s">
        <v>173</v>
      </c>
      <c r="I4" s="77"/>
      <c r="J4" s="75">
        <f>'Impôt 2021 revenus 2020'!C10</f>
        <v>2</v>
      </c>
      <c r="M4" s="21">
        <v>0</v>
      </c>
      <c r="O4" s="21" t="s">
        <v>174</v>
      </c>
    </row>
    <row r="5" spans="1:15" ht="15.6" customHeight="1" x14ac:dyDescent="0.3">
      <c r="A5" s="498"/>
      <c r="B5" s="60">
        <v>0</v>
      </c>
      <c r="C5" s="61">
        <v>10064</v>
      </c>
      <c r="D5" s="66">
        <f>0</f>
        <v>0</v>
      </c>
      <c r="E5" s="61">
        <f>0</f>
        <v>0</v>
      </c>
      <c r="F5" s="62"/>
      <c r="G5" s="505"/>
      <c r="H5" s="507"/>
      <c r="I5" s="507"/>
      <c r="J5" s="500"/>
      <c r="M5" s="21">
        <v>1</v>
      </c>
      <c r="O5" s="21" t="s">
        <v>175</v>
      </c>
    </row>
    <row r="6" spans="1:15" ht="15.6" customHeight="1" x14ac:dyDescent="0.3">
      <c r="A6" s="498"/>
      <c r="B6" s="60">
        <v>10065</v>
      </c>
      <c r="C6" s="61">
        <v>25659</v>
      </c>
      <c r="D6" s="66">
        <v>0.11</v>
      </c>
      <c r="E6" s="61">
        <f>(C6-B6)*D6</f>
        <v>1715.34</v>
      </c>
      <c r="F6" s="62"/>
      <c r="G6" s="505"/>
      <c r="H6" s="505"/>
      <c r="I6" s="505"/>
      <c r="J6" s="501"/>
      <c r="M6" s="21">
        <v>2</v>
      </c>
      <c r="O6" s="21" t="s">
        <v>176</v>
      </c>
    </row>
    <row r="7" spans="1:15" ht="15.6" customHeight="1" x14ac:dyDescent="0.3">
      <c r="A7" s="498"/>
      <c r="B7" s="60">
        <v>25660</v>
      </c>
      <c r="C7" s="61">
        <v>73369</v>
      </c>
      <c r="D7" s="66">
        <f>0.3</f>
        <v>0.3</v>
      </c>
      <c r="E7" s="61">
        <f>(C7-B7)*D7</f>
        <v>14312.699999999999</v>
      </c>
      <c r="F7" s="62">
        <f>E7+E6</f>
        <v>16028.039999999999</v>
      </c>
      <c r="G7" s="505"/>
      <c r="H7" s="505"/>
      <c r="I7" s="505"/>
      <c r="J7" s="501"/>
      <c r="M7" s="21">
        <v>3</v>
      </c>
    </row>
    <row r="8" spans="1:15" ht="15.6" customHeight="1" thickBot="1" x14ac:dyDescent="0.35">
      <c r="A8" s="498"/>
      <c r="B8" s="60">
        <v>73370</v>
      </c>
      <c r="C8" s="61">
        <v>157806</v>
      </c>
      <c r="D8" s="66">
        <v>0.41</v>
      </c>
      <c r="E8" s="61">
        <f>(C8-B8)*D8</f>
        <v>34618.759999999995</v>
      </c>
      <c r="F8" s="62">
        <f>SUM(E6:E8)</f>
        <v>50646.799999999996</v>
      </c>
      <c r="G8" s="505"/>
      <c r="H8" s="505"/>
      <c r="I8" s="505"/>
      <c r="J8" s="501"/>
      <c r="M8" s="21">
        <v>4</v>
      </c>
    </row>
    <row r="9" spans="1:15" ht="15.6" customHeight="1" thickBot="1" x14ac:dyDescent="0.35">
      <c r="A9" s="498"/>
      <c r="B9" s="63"/>
      <c r="C9" s="64"/>
      <c r="D9" s="67">
        <f>0.45</f>
        <v>0.45</v>
      </c>
      <c r="E9" s="64"/>
      <c r="F9" s="65"/>
      <c r="G9" s="505"/>
      <c r="H9" s="491" t="s">
        <v>177</v>
      </c>
      <c r="I9" s="493"/>
      <c r="J9" s="55"/>
      <c r="M9" s="21">
        <v>5</v>
      </c>
    </row>
    <row r="10" spans="1:15" ht="15.6" customHeight="1" x14ac:dyDescent="0.3">
      <c r="A10" s="498"/>
      <c r="B10" s="507"/>
      <c r="C10" s="507"/>
      <c r="D10" s="507"/>
      <c r="E10" s="507"/>
      <c r="F10" s="507"/>
      <c r="G10" s="505"/>
      <c r="H10" s="84" t="s">
        <v>178</v>
      </c>
      <c r="I10" s="80">
        <f>IF(J3&gt;=C8, (J3-C8)*D9+E8+E7+E6, IF(J3&gt;=C7, (J3-C7)*D8+E7+E6, IF(J3&gt;=C6, (J3-C6)*D7+E6, IF(J3&gt;=C5, (J3-C5)*D6, 0))))</f>
        <v>17769.309999999998</v>
      </c>
      <c r="J10" s="55"/>
    </row>
    <row r="11" spans="1:15" ht="15.6" customHeight="1" x14ac:dyDescent="0.3">
      <c r="A11" s="498"/>
      <c r="B11" s="505"/>
      <c r="C11" s="505"/>
      <c r="D11" s="505"/>
      <c r="E11" s="505"/>
      <c r="F11" s="505"/>
      <c r="G11" s="505"/>
      <c r="H11" s="85" t="s">
        <v>179</v>
      </c>
      <c r="I11" s="81">
        <f>IF(J3&gt;=C28, (J3-C28)*D29+E28+E27+E26, IF(J3&gt;=C27, (J3-C27)*D28+E27+E26, IF(J3&gt;=C26, (J3-C26)*D27+E26, IF(J3&gt;=C25, (J3-C25)*D26, 0))))</f>
        <v>11320.08</v>
      </c>
      <c r="J11" s="55"/>
    </row>
    <row r="12" spans="1:15" ht="15.6" customHeight="1" x14ac:dyDescent="0.3">
      <c r="A12" s="498"/>
      <c r="B12" s="505"/>
      <c r="C12" s="505"/>
      <c r="D12" s="505"/>
      <c r="E12" s="505"/>
      <c r="F12" s="505"/>
      <c r="G12" s="505"/>
      <c r="H12" s="85"/>
      <c r="I12" s="82"/>
      <c r="J12" s="55"/>
    </row>
    <row r="13" spans="1:15" ht="15.6" customHeight="1" x14ac:dyDescent="0.3">
      <c r="A13" s="498"/>
      <c r="B13" s="505"/>
      <c r="C13" s="505"/>
      <c r="D13" s="505"/>
      <c r="E13" s="505"/>
      <c r="F13" s="505"/>
      <c r="G13" s="505"/>
      <c r="H13" s="85" t="s">
        <v>180</v>
      </c>
      <c r="I13" s="82">
        <f>IF('Impôt 2021 revenus 2020'!C5="Parent isolé (T)", 1,0)</f>
        <v>0</v>
      </c>
      <c r="J13" s="55"/>
    </row>
    <row r="14" spans="1:15" ht="15.6" customHeight="1" x14ac:dyDescent="0.3">
      <c r="A14" s="498"/>
      <c r="B14" s="505"/>
      <c r="C14" s="505"/>
      <c r="D14" s="505"/>
      <c r="E14" s="505"/>
      <c r="F14" s="505"/>
      <c r="G14" s="505"/>
      <c r="H14" s="85" t="s">
        <v>181</v>
      </c>
      <c r="I14" s="82">
        <f>IF('Impôt 2021 revenus 2020'!C5="Enfant élevé seul (L)", 1, 0)</f>
        <v>0</v>
      </c>
      <c r="J14" s="55"/>
    </row>
    <row r="15" spans="1:15" ht="15.6" customHeight="1" thickBot="1" x14ac:dyDescent="0.35">
      <c r="A15" s="499"/>
      <c r="B15" s="506"/>
      <c r="C15" s="506"/>
      <c r="D15" s="506"/>
      <c r="E15" s="506"/>
      <c r="F15" s="506"/>
      <c r="G15" s="505"/>
      <c r="H15" s="85" t="s">
        <v>182</v>
      </c>
      <c r="I15" s="82">
        <f>IF('Impôt 2021 revenus 2020'!C5="Invalidité", 1,0)</f>
        <v>0</v>
      </c>
      <c r="J15" s="55"/>
    </row>
    <row r="16" spans="1:15" ht="16.2" customHeight="1" thickBot="1" x14ac:dyDescent="0.35">
      <c r="A16" s="508" t="s">
        <v>183</v>
      </c>
      <c r="B16" s="509"/>
      <c r="C16" s="509"/>
      <c r="D16" s="509"/>
      <c r="E16" s="509"/>
      <c r="F16" s="510"/>
      <c r="G16" s="505"/>
      <c r="H16" s="85" t="s">
        <v>184</v>
      </c>
      <c r="I16" s="82">
        <f>IF('Impôt 2021 revenus 2020'!C5=0, (J4-1)*2, (J4-1)*2-1)</f>
        <v>2</v>
      </c>
      <c r="J16" s="55"/>
    </row>
    <row r="17" spans="1:17" ht="15.6" customHeight="1" x14ac:dyDescent="0.3">
      <c r="A17" s="105">
        <v>1567</v>
      </c>
      <c r="B17" s="46" t="s">
        <v>185</v>
      </c>
      <c r="C17" s="46"/>
      <c r="D17" s="46"/>
      <c r="E17" s="46"/>
      <c r="F17" s="47"/>
      <c r="G17" s="505"/>
      <c r="H17" s="85" t="s">
        <v>186</v>
      </c>
      <c r="I17" s="81">
        <f>I10-A17*I16-I13*A19-I14*A18-I15*A20</f>
        <v>14635.309999999998</v>
      </c>
      <c r="J17" s="55"/>
      <c r="O17" s="21" t="s">
        <v>187</v>
      </c>
      <c r="P17" s="21">
        <v>0</v>
      </c>
      <c r="Q17" s="21">
        <v>1</v>
      </c>
    </row>
    <row r="18" spans="1:17" ht="15.6" customHeight="1" x14ac:dyDescent="0.3">
      <c r="A18" s="106">
        <v>936</v>
      </c>
      <c r="B18" s="48" t="s">
        <v>188</v>
      </c>
      <c r="C18" s="48"/>
      <c r="D18" s="48"/>
      <c r="E18" s="48"/>
      <c r="F18" s="49"/>
      <c r="G18" s="505"/>
      <c r="H18" s="85"/>
      <c r="I18" s="82"/>
      <c r="J18" s="55"/>
      <c r="P18" s="21">
        <v>1</v>
      </c>
      <c r="Q18" s="21">
        <v>1.5</v>
      </c>
    </row>
    <row r="19" spans="1:17" ht="15.6" customHeight="1" x14ac:dyDescent="0.3">
      <c r="A19" s="106">
        <f>3697-1567</f>
        <v>2130</v>
      </c>
      <c r="B19" s="48" t="s">
        <v>189</v>
      </c>
      <c r="C19" s="48"/>
      <c r="D19" s="48"/>
      <c r="E19" s="48"/>
      <c r="F19" s="49"/>
      <c r="G19" s="505"/>
      <c r="H19" s="85"/>
      <c r="I19" s="82"/>
      <c r="J19" s="55"/>
      <c r="P19" s="21">
        <v>2</v>
      </c>
      <c r="Q19" s="21">
        <v>2</v>
      </c>
    </row>
    <row r="20" spans="1:17" ht="15.6" customHeight="1" x14ac:dyDescent="0.3">
      <c r="A20" s="106">
        <v>3129</v>
      </c>
      <c r="B20" s="48" t="s">
        <v>190</v>
      </c>
      <c r="C20" s="48"/>
      <c r="D20" s="48"/>
      <c r="E20" s="48"/>
      <c r="F20" s="49"/>
      <c r="G20" s="505"/>
      <c r="H20" s="85" t="s">
        <v>191</v>
      </c>
      <c r="I20" s="81">
        <f>IF(I11&gt;I17, I11, I17)</f>
        <v>14635.309999999998</v>
      </c>
      <c r="J20" s="55"/>
      <c r="P20" s="21">
        <v>3</v>
      </c>
      <c r="Q20" s="21">
        <v>3</v>
      </c>
    </row>
    <row r="21" spans="1:17" ht="16.2" customHeight="1" thickBot="1" x14ac:dyDescent="0.35">
      <c r="A21" s="50"/>
      <c r="B21" s="51" t="s">
        <v>192</v>
      </c>
      <c r="C21" s="51"/>
      <c r="D21" s="51"/>
      <c r="E21" s="51"/>
      <c r="F21" s="52"/>
      <c r="G21" s="505"/>
      <c r="H21" s="85" t="s">
        <v>193</v>
      </c>
      <c r="I21" s="82">
        <f>IF(I20&lt;=1717, (777-I20*0.4525), 0)</f>
        <v>0</v>
      </c>
      <c r="J21" s="55"/>
      <c r="P21" s="21">
        <v>4</v>
      </c>
      <c r="Q21" s="21">
        <v>4</v>
      </c>
    </row>
    <row r="22" spans="1:17" ht="16.2" customHeight="1" thickBot="1" x14ac:dyDescent="0.35">
      <c r="A22" s="497"/>
      <c r="B22" s="507"/>
      <c r="C22" s="507"/>
      <c r="D22" s="507"/>
      <c r="E22" s="507"/>
      <c r="F22" s="507"/>
      <c r="G22" s="505"/>
      <c r="H22" s="86" t="s">
        <v>194</v>
      </c>
      <c r="I22" s="83">
        <f>IF(I21&gt;I20, 0, I20-I21)</f>
        <v>14635.309999999998</v>
      </c>
      <c r="J22" s="55"/>
    </row>
    <row r="23" spans="1:17" ht="16.2" customHeight="1" thickBot="1" x14ac:dyDescent="0.35">
      <c r="A23" s="504"/>
      <c r="B23" s="491" t="s">
        <v>195</v>
      </c>
      <c r="C23" s="492"/>
      <c r="D23" s="492"/>
      <c r="E23" s="492"/>
      <c r="F23" s="493"/>
      <c r="G23" s="505"/>
      <c r="H23" s="505"/>
      <c r="I23" s="505"/>
      <c r="J23" s="501"/>
      <c r="O23" s="21" t="s">
        <v>28</v>
      </c>
      <c r="P23" s="21">
        <v>0</v>
      </c>
      <c r="Q23" s="21">
        <v>2</v>
      </c>
    </row>
    <row r="24" spans="1:17" ht="15.6" customHeight="1" x14ac:dyDescent="0.3">
      <c r="A24" s="504"/>
      <c r="B24" s="57"/>
      <c r="C24" s="58"/>
      <c r="D24" s="58"/>
      <c r="E24" s="58"/>
      <c r="F24" s="59"/>
      <c r="G24" s="505"/>
      <c r="H24" s="505"/>
      <c r="I24" s="505"/>
      <c r="J24" s="501"/>
      <c r="P24" s="21">
        <v>1</v>
      </c>
      <c r="Q24" s="21">
        <v>2.5</v>
      </c>
    </row>
    <row r="25" spans="1:17" ht="15.6" customHeight="1" x14ac:dyDescent="0.3">
      <c r="A25" s="504"/>
      <c r="B25" s="60">
        <v>0</v>
      </c>
      <c r="C25" s="61">
        <f>C5*$J$4</f>
        <v>20128</v>
      </c>
      <c r="D25" s="66">
        <f>0</f>
        <v>0</v>
      </c>
      <c r="E25" s="61">
        <f>0</f>
        <v>0</v>
      </c>
      <c r="F25" s="62"/>
      <c r="G25" s="505"/>
      <c r="H25" s="505"/>
      <c r="I25" s="505"/>
      <c r="J25" s="501"/>
      <c r="P25" s="21">
        <v>2</v>
      </c>
      <c r="Q25" s="21">
        <v>3</v>
      </c>
    </row>
    <row r="26" spans="1:17" ht="15.6" customHeight="1" x14ac:dyDescent="0.3">
      <c r="A26" s="504"/>
      <c r="B26" s="60">
        <f>B6*$J$4</f>
        <v>20130</v>
      </c>
      <c r="C26" s="61">
        <f>C6*$J$4</f>
        <v>51318</v>
      </c>
      <c r="D26" s="66">
        <v>0.11</v>
      </c>
      <c r="E26" s="61">
        <f>(C26-B26)*D26</f>
        <v>3430.68</v>
      </c>
      <c r="F26" s="62"/>
      <c r="G26" s="505"/>
      <c r="H26" s="505"/>
      <c r="I26" s="505"/>
      <c r="J26" s="501"/>
      <c r="P26" s="21">
        <v>3</v>
      </c>
      <c r="Q26" s="21">
        <v>4</v>
      </c>
    </row>
    <row r="27" spans="1:17" ht="15.6" customHeight="1" x14ac:dyDescent="0.3">
      <c r="A27" s="504"/>
      <c r="B27" s="60">
        <f>B7*$J$4</f>
        <v>51320</v>
      </c>
      <c r="C27" s="61">
        <f>C7*$J$4</f>
        <v>146738</v>
      </c>
      <c r="D27" s="66">
        <f>0.3</f>
        <v>0.3</v>
      </c>
      <c r="E27" s="61">
        <f>(C27-B27)*D27</f>
        <v>28625.399999999998</v>
      </c>
      <c r="F27" s="62">
        <f>E27+E26</f>
        <v>32056.079999999998</v>
      </c>
      <c r="G27" s="505"/>
      <c r="H27" s="505"/>
      <c r="I27" s="505"/>
      <c r="J27" s="501"/>
      <c r="P27" s="21">
        <v>4</v>
      </c>
      <c r="Q27" s="21">
        <v>5</v>
      </c>
    </row>
    <row r="28" spans="1:17" ht="15.6" customHeight="1" x14ac:dyDescent="0.3">
      <c r="A28" s="504"/>
      <c r="B28" s="60">
        <f>B8*$J$4</f>
        <v>146740</v>
      </c>
      <c r="C28" s="61">
        <f>C8*$J$4</f>
        <v>315612</v>
      </c>
      <c r="D28" s="66">
        <v>0.41</v>
      </c>
      <c r="E28" s="61">
        <f>(C28-B28)*D28</f>
        <v>69237.51999999999</v>
      </c>
      <c r="F28" s="62">
        <f>SUM(E26:E28)</f>
        <v>101293.59999999999</v>
      </c>
      <c r="G28" s="505"/>
      <c r="H28" s="505"/>
      <c r="I28" s="505"/>
      <c r="J28" s="501"/>
    </row>
    <row r="29" spans="1:17" ht="16.2" customHeight="1" thickBot="1" x14ac:dyDescent="0.35">
      <c r="A29" s="512"/>
      <c r="B29" s="63"/>
      <c r="C29" s="64"/>
      <c r="D29" s="67">
        <f>0.45</f>
        <v>0.45</v>
      </c>
      <c r="E29" s="64"/>
      <c r="F29" s="65"/>
      <c r="G29" s="506"/>
      <c r="H29" s="506"/>
      <c r="I29" s="506"/>
      <c r="J29" s="502"/>
    </row>
    <row r="30" spans="1:17" ht="15" thickBot="1" x14ac:dyDescent="0.35">
      <c r="A30" s="496"/>
      <c r="B30" s="496"/>
      <c r="C30" s="496"/>
      <c r="D30" s="496"/>
      <c r="E30" s="496"/>
      <c r="F30" s="496"/>
      <c r="G30" s="496"/>
      <c r="H30" s="496"/>
      <c r="I30" s="496"/>
      <c r="J30" s="496"/>
      <c r="O30" s="21">
        <f>IF(OR('Impôt 2021 revenus 2020'!C3="Célibataire",'Impôt 2021 revenus 2020'!C3="Concubinage",'Impôt 2021 revenus 2020'!C3="Divorcé",'Impôt 2021 revenus 2020'!C3="Veuf"), VLOOKUP('Impôt 2021 revenus 2020'!C4,P17:Q21, 2, FALSE) - IF('Etat Civil'!C20="Alternée",IF('Etat Civil'!C29=1,0.25,IF('Etat Civil'!C29=2,0.5,IF('Etat Civil'!C29=3,1,IF('Etat Civil'!C29=4,1.5,2)))),0), VLOOKUP('Impôt 2021 revenus 2020'!C4,P23:Q27, 2, FALSE))</f>
        <v>2</v>
      </c>
    </row>
    <row r="31" spans="1:17" ht="15" thickBot="1" x14ac:dyDescent="0.35">
      <c r="A31" s="488" t="s">
        <v>196</v>
      </c>
      <c r="B31" s="494"/>
      <c r="C31" s="494"/>
      <c r="D31" s="494"/>
      <c r="E31" s="494"/>
      <c r="F31" s="494"/>
      <c r="G31" s="489"/>
      <c r="H31" s="489"/>
      <c r="I31" s="489"/>
      <c r="J31" s="490"/>
    </row>
    <row r="32" spans="1:17" ht="16.2" customHeight="1" thickBot="1" x14ac:dyDescent="0.35">
      <c r="A32" s="497"/>
      <c r="B32" s="491"/>
      <c r="C32" s="492"/>
      <c r="D32" s="495"/>
      <c r="E32" s="68" t="s">
        <v>197</v>
      </c>
      <c r="F32" s="69" t="s">
        <v>198</v>
      </c>
      <c r="G32" s="503"/>
      <c r="H32" s="491" t="s">
        <v>177</v>
      </c>
      <c r="I32" s="493"/>
      <c r="J32" s="500"/>
    </row>
    <row r="33" spans="1:19" ht="15.6" customHeight="1" x14ac:dyDescent="0.3">
      <c r="A33" s="498"/>
      <c r="B33" s="70">
        <f>B5*2</f>
        <v>0</v>
      </c>
      <c r="C33" s="71">
        <f>C5*2</f>
        <v>20128</v>
      </c>
      <c r="D33" s="73">
        <v>0</v>
      </c>
      <c r="E33" s="71">
        <v>0</v>
      </c>
      <c r="F33" s="72"/>
      <c r="G33" s="504"/>
      <c r="H33" s="87" t="s">
        <v>199</v>
      </c>
      <c r="I33" s="90">
        <f>IF(J3&gt;=C37, (J3-C37)*D38+E37+E36+E34, IF(J3&gt;=C36, (J3-C36)*D37+E36+E34, IF(J3&gt;=C34, (J3-C34)*D36+E34, IF(J3&gt;=C33, (J3-C33)*D34, 0))))</f>
        <v>11320.08</v>
      </c>
      <c r="J33" s="501"/>
    </row>
    <row r="34" spans="1:19" ht="15.6" customHeight="1" x14ac:dyDescent="0.3">
      <c r="A34" s="498"/>
      <c r="B34" s="60">
        <f t="shared" ref="B34:C34" si="0">B6*2</f>
        <v>20130</v>
      </c>
      <c r="C34" s="61">
        <f t="shared" si="0"/>
        <v>51318</v>
      </c>
      <c r="D34" s="66">
        <v>0.11</v>
      </c>
      <c r="E34" s="61">
        <f>(C34-B34)*D34</f>
        <v>3430.68</v>
      </c>
      <c r="F34" s="62"/>
      <c r="G34" s="504"/>
      <c r="H34" s="88" t="s">
        <v>179</v>
      </c>
      <c r="I34" s="91">
        <f>IF(J3&gt;=C28, (J3-C28)*D29+E28+E27+E26, IF(J3&gt;=C27, (J3-C27)*D28+E27+E26, IF(J3&gt;=C26, (J3-C26)*D27+E26, IF(J3&gt;=C25, (J3-C25)*D26, 0))))</f>
        <v>11320.08</v>
      </c>
      <c r="J34" s="501"/>
      <c r="O34" s="21">
        <f>1196*1.01</f>
        <v>1207.96</v>
      </c>
    </row>
    <row r="35" spans="1:19" ht="15.6" customHeight="1" x14ac:dyDescent="0.3">
      <c r="A35" s="498"/>
      <c r="B35" s="60"/>
      <c r="C35" s="61"/>
      <c r="D35" s="66"/>
      <c r="E35" s="61"/>
      <c r="F35" s="62"/>
      <c r="G35" s="504"/>
      <c r="H35" s="88" t="s">
        <v>200</v>
      </c>
      <c r="I35" s="92">
        <f>IF('Impôt 2021 revenus 2020'!C5="Invalidité", 1,0)</f>
        <v>0</v>
      </c>
      <c r="J35" s="501"/>
      <c r="O35" s="21">
        <f>1970*(1+O36)</f>
        <v>1989.7</v>
      </c>
      <c r="R35" s="21">
        <f>1208-0.75*1000</f>
        <v>458</v>
      </c>
      <c r="S35" s="21">
        <v>1611</v>
      </c>
    </row>
    <row r="36" spans="1:19" ht="15.6" customHeight="1" x14ac:dyDescent="0.3">
      <c r="A36" s="498"/>
      <c r="B36" s="60">
        <f>B7*2</f>
        <v>51320</v>
      </c>
      <c r="C36" s="61">
        <f>C7*2</f>
        <v>146738</v>
      </c>
      <c r="D36" s="66">
        <v>0.3</v>
      </c>
      <c r="E36" s="61">
        <f>(C36-B36)*D36</f>
        <v>28625.399999999998</v>
      </c>
      <c r="F36" s="62">
        <f>E34+E36</f>
        <v>32056.079999999998</v>
      </c>
      <c r="G36" s="504"/>
      <c r="H36" s="88" t="s">
        <v>201</v>
      </c>
      <c r="I36" s="92">
        <f>MAX(0,IF('Impôt 2021 revenus 2020'!C5=0, (J4-2)*2, (J4-2)*2-1))</f>
        <v>0</v>
      </c>
      <c r="J36" s="501"/>
      <c r="O36" s="21">
        <v>0.01</v>
      </c>
      <c r="S36" s="21">
        <v>2653</v>
      </c>
    </row>
    <row r="37" spans="1:19" ht="15.6" customHeight="1" x14ac:dyDescent="0.3">
      <c r="A37" s="498"/>
      <c r="B37" s="60">
        <f>B8*2</f>
        <v>146740</v>
      </c>
      <c r="C37" s="61">
        <f>C8*2</f>
        <v>315612</v>
      </c>
      <c r="D37" s="66">
        <v>0.41</v>
      </c>
      <c r="E37" s="61">
        <f>(C37-B37)*D37</f>
        <v>69237.51999999999</v>
      </c>
      <c r="F37" s="62">
        <f>E34+E36+E37</f>
        <v>101293.59999999999</v>
      </c>
      <c r="G37" s="504"/>
      <c r="H37" s="88" t="s">
        <v>186</v>
      </c>
      <c r="I37" s="91">
        <f>I33-A17*I36-I35*A20</f>
        <v>11320.08</v>
      </c>
      <c r="J37" s="501"/>
    </row>
    <row r="38" spans="1:19" ht="16.2" customHeight="1" thickBot="1" x14ac:dyDescent="0.35">
      <c r="A38" s="498"/>
      <c r="B38" s="63"/>
      <c r="C38" s="64"/>
      <c r="D38" s="67">
        <v>0.45</v>
      </c>
      <c r="E38" s="64"/>
      <c r="F38" s="65"/>
      <c r="G38" s="504"/>
      <c r="H38" s="88"/>
      <c r="I38" s="92"/>
      <c r="J38" s="501"/>
    </row>
    <row r="39" spans="1:19" ht="15.6" customHeight="1" x14ac:dyDescent="0.3">
      <c r="A39" s="498"/>
      <c r="B39" s="505"/>
      <c r="C39" s="505"/>
      <c r="D39" s="505"/>
      <c r="E39" s="505"/>
      <c r="F39" s="505"/>
      <c r="G39" s="505"/>
      <c r="H39" s="88" t="s">
        <v>191</v>
      </c>
      <c r="I39" s="91">
        <f>IF(I34&gt;I37, I34, I37)</f>
        <v>11320.08</v>
      </c>
      <c r="J39" s="501"/>
    </row>
    <row r="40" spans="1:19" ht="15.6" customHeight="1" x14ac:dyDescent="0.3">
      <c r="A40" s="498"/>
      <c r="B40" s="505"/>
      <c r="C40" s="505"/>
      <c r="D40" s="505"/>
      <c r="E40" s="505"/>
      <c r="F40" s="505"/>
      <c r="G40" s="505"/>
      <c r="H40" s="88" t="s">
        <v>193</v>
      </c>
      <c r="I40" s="93">
        <f>IF(I39&lt;=2842, 1286-I39*0.4525, 0)</f>
        <v>0</v>
      </c>
      <c r="J40" s="501"/>
    </row>
    <row r="41" spans="1:19" ht="16.2" customHeight="1" thickBot="1" x14ac:dyDescent="0.35">
      <c r="A41" s="498"/>
      <c r="B41" s="505"/>
      <c r="C41" s="505"/>
      <c r="D41" s="505"/>
      <c r="E41" s="505"/>
      <c r="F41" s="505"/>
      <c r="G41" s="505"/>
      <c r="H41" s="89" t="s">
        <v>194</v>
      </c>
      <c r="I41" s="94">
        <f>IF(I40&gt;I39, 0, I39-I40)</f>
        <v>11320.08</v>
      </c>
      <c r="J41" s="501"/>
    </row>
    <row r="42" spans="1:19" ht="16.2" customHeight="1" thickBot="1" x14ac:dyDescent="0.35">
      <c r="A42" s="499"/>
      <c r="B42" s="506"/>
      <c r="C42" s="506"/>
      <c r="D42" s="506"/>
      <c r="E42" s="506"/>
      <c r="F42" s="506"/>
      <c r="G42" s="506"/>
      <c r="H42" s="496"/>
      <c r="I42" s="496"/>
      <c r="J42" s="502"/>
    </row>
  </sheetData>
  <sheetProtection algorithmName="SHA-512" hashValue="5kwVQ++5n9OPPwpfPpYMjVZJQOOI33Civ115AXtyBQ0qi8jK3Q7vEnPxUcp6ui1oa9jvNULOO4GJaxGRDA21Xw==" saltValue="F1kg7TTTCcgJ9kIXxIF4kA==" spinCount="100000" sheet="1" objects="1" scenarios="1" selectLockedCells="1" selectUnlockedCells="1"/>
  <mergeCells count="23">
    <mergeCell ref="H9:I9"/>
    <mergeCell ref="A23:A29"/>
    <mergeCell ref="A22:F22"/>
    <mergeCell ref="H23:J29"/>
    <mergeCell ref="H5:J8"/>
    <mergeCell ref="B10:F15"/>
    <mergeCell ref="A3:A15"/>
    <mergeCell ref="A1:J1"/>
    <mergeCell ref="B3:F3"/>
    <mergeCell ref="B23:F23"/>
    <mergeCell ref="A31:J31"/>
    <mergeCell ref="B32:D32"/>
    <mergeCell ref="H32:I32"/>
    <mergeCell ref="A30:J30"/>
    <mergeCell ref="A32:A42"/>
    <mergeCell ref="J32:J42"/>
    <mergeCell ref="H42:I42"/>
    <mergeCell ref="G32:G38"/>
    <mergeCell ref="B39:G42"/>
    <mergeCell ref="G2:G29"/>
    <mergeCell ref="A16:F16"/>
    <mergeCell ref="H2:J2"/>
    <mergeCell ref="A2:F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16EC-EF0F-455C-B9D1-21D4BC82D2A3}">
  <dimension ref="A1:AC19"/>
  <sheetViews>
    <sheetView workbookViewId="0">
      <selection activeCell="C8" sqref="C8"/>
    </sheetView>
  </sheetViews>
  <sheetFormatPr baseColWidth="10" defaultColWidth="10.19921875" defaultRowHeight="14.4" x14ac:dyDescent="0.3"/>
  <cols>
    <col min="1" max="1" width="10.19921875" style="24"/>
    <col min="2" max="2" width="20.3984375" style="24" customWidth="1"/>
    <col min="3" max="3" width="26.09765625" style="24" customWidth="1"/>
    <col min="4" max="4" width="18.3984375" style="24" customWidth="1"/>
    <col min="5" max="16384" width="10.19921875" style="24"/>
  </cols>
  <sheetData>
    <row r="1" spans="1:29" ht="28.8" x14ac:dyDescent="0.55000000000000004">
      <c r="A1" s="513" t="s">
        <v>202</v>
      </c>
      <c r="B1" s="514"/>
      <c r="C1" s="514"/>
      <c r="D1" s="514"/>
      <c r="E1" s="514"/>
      <c r="F1" s="514"/>
      <c r="G1" s="514"/>
      <c r="H1" s="514"/>
      <c r="I1" s="514"/>
      <c r="J1" s="514"/>
      <c r="K1" s="514"/>
      <c r="L1" s="514"/>
      <c r="M1" s="514"/>
      <c r="N1" s="515"/>
      <c r="O1" s="516" t="s">
        <v>203</v>
      </c>
      <c r="P1" s="517"/>
      <c r="Q1" s="517"/>
      <c r="R1" s="517"/>
      <c r="S1" s="517"/>
      <c r="T1" s="517"/>
      <c r="U1" s="517"/>
      <c r="V1" s="517"/>
      <c r="W1" s="517"/>
      <c r="X1" s="517"/>
      <c r="Y1" s="517"/>
      <c r="Z1" s="517"/>
      <c r="AA1" s="517"/>
      <c r="AB1" s="517"/>
      <c r="AC1" s="517"/>
    </row>
    <row r="2" spans="1:29" ht="15.6" x14ac:dyDescent="0.3">
      <c r="A2" s="25"/>
      <c r="K2" s="519" t="s">
        <v>204</v>
      </c>
      <c r="L2" s="519"/>
      <c r="M2" s="519"/>
      <c r="N2" s="520"/>
      <c r="O2" s="518"/>
      <c r="P2" s="517"/>
      <c r="Q2" s="517"/>
      <c r="R2" s="517"/>
      <c r="S2" s="517"/>
      <c r="T2" s="517"/>
      <c r="U2" s="517"/>
      <c r="V2" s="517"/>
      <c r="W2" s="517"/>
      <c r="X2" s="517"/>
      <c r="Y2" s="517"/>
      <c r="Z2" s="517"/>
      <c r="AA2" s="517"/>
      <c r="AB2" s="517"/>
      <c r="AC2" s="517"/>
    </row>
    <row r="3" spans="1:29" ht="28.5" customHeight="1" x14ac:dyDescent="0.3">
      <c r="A3" s="26" t="s">
        <v>205</v>
      </c>
      <c r="B3" s="27"/>
      <c r="C3" s="28" t="str">
        <f>'Etat Civil'!C17</f>
        <v>Marié-Pacsé</v>
      </c>
      <c r="N3" s="29"/>
      <c r="O3" s="518"/>
      <c r="P3" s="517"/>
      <c r="Q3" s="517"/>
      <c r="R3" s="517"/>
      <c r="S3" s="517"/>
      <c r="T3" s="517"/>
      <c r="U3" s="517"/>
      <c r="V3" s="517"/>
      <c r="W3" s="517"/>
      <c r="X3" s="517"/>
      <c r="Y3" s="517"/>
      <c r="Z3" s="517"/>
      <c r="AA3" s="517"/>
      <c r="AB3" s="517"/>
      <c r="AC3" s="517"/>
    </row>
    <row r="4" spans="1:29" ht="28.5" customHeight="1" x14ac:dyDescent="0.3">
      <c r="A4" s="26" t="s">
        <v>206</v>
      </c>
      <c r="B4" s="27"/>
      <c r="C4" s="28">
        <f>'Etat Civil'!C29</f>
        <v>0</v>
      </c>
      <c r="N4" s="29"/>
      <c r="O4" s="518"/>
      <c r="P4" s="517"/>
      <c r="Q4" s="517"/>
      <c r="R4" s="517"/>
      <c r="S4" s="517"/>
      <c r="T4" s="517"/>
      <c r="U4" s="517"/>
      <c r="V4" s="517"/>
      <c r="W4" s="517"/>
      <c r="X4" s="517"/>
      <c r="Y4" s="517"/>
      <c r="Z4" s="517"/>
      <c r="AA4" s="517"/>
      <c r="AB4" s="517"/>
      <c r="AC4" s="517"/>
    </row>
    <row r="5" spans="1:29" ht="28.5" customHeight="1" x14ac:dyDescent="0.3">
      <c r="A5" s="26" t="s">
        <v>34</v>
      </c>
      <c r="B5" s="27"/>
      <c r="C5" s="30">
        <f>'Etat Civil'!C19</f>
        <v>0</v>
      </c>
      <c r="D5" s="521" t="s">
        <v>207</v>
      </c>
      <c r="E5" s="521"/>
      <c r="F5" s="521"/>
      <c r="G5" s="521"/>
      <c r="H5" s="521"/>
      <c r="I5" s="521"/>
      <c r="J5" s="521"/>
      <c r="K5" s="521"/>
      <c r="L5" s="521"/>
      <c r="M5" s="521"/>
      <c r="N5" s="521"/>
      <c r="O5" s="518"/>
      <c r="P5" s="517"/>
      <c r="Q5" s="517"/>
      <c r="R5" s="517"/>
      <c r="S5" s="517"/>
      <c r="T5" s="517"/>
      <c r="U5" s="517"/>
      <c r="V5" s="517"/>
      <c r="W5" s="517"/>
      <c r="X5" s="517"/>
      <c r="Y5" s="517"/>
      <c r="Z5" s="517"/>
      <c r="AA5" s="517"/>
      <c r="AB5" s="517"/>
      <c r="AC5" s="517"/>
    </row>
    <row r="6" spans="1:29" ht="28.5" customHeight="1" x14ac:dyDescent="0.3">
      <c r="A6" s="26"/>
      <c r="B6" s="27"/>
      <c r="C6" s="31"/>
      <c r="N6" s="29"/>
      <c r="O6" s="518"/>
      <c r="P6" s="517"/>
      <c r="Q6" s="517"/>
      <c r="R6" s="517"/>
      <c r="S6" s="517"/>
      <c r="T6" s="517"/>
      <c r="U6" s="517"/>
      <c r="V6" s="517"/>
      <c r="W6" s="517"/>
      <c r="X6" s="517"/>
      <c r="Y6" s="517"/>
      <c r="Z6" s="517"/>
      <c r="AA6" s="517"/>
      <c r="AB6" s="517"/>
      <c r="AC6" s="517"/>
    </row>
    <row r="7" spans="1:29" ht="28.5" hidden="1" customHeight="1" x14ac:dyDescent="0.3">
      <c r="A7" s="26"/>
      <c r="B7" s="27"/>
      <c r="C7" s="31"/>
      <c r="N7" s="29"/>
      <c r="O7" s="518"/>
      <c r="P7" s="517"/>
      <c r="Q7" s="517"/>
      <c r="R7" s="517"/>
      <c r="S7" s="517"/>
      <c r="T7" s="517"/>
      <c r="U7" s="517"/>
      <c r="V7" s="517"/>
      <c r="W7" s="517"/>
      <c r="X7" s="517"/>
      <c r="Y7" s="517"/>
      <c r="Z7" s="517"/>
      <c r="AA7" s="517"/>
      <c r="AB7" s="517"/>
      <c r="AC7" s="517"/>
    </row>
    <row r="8" spans="1:29" ht="28.5" customHeight="1" x14ac:dyDescent="0.3">
      <c r="A8" s="26" t="s">
        <v>208</v>
      </c>
      <c r="B8" s="27"/>
      <c r="C8" s="156">
        <f>'Calcul IR 2'!J3</f>
        <v>77616</v>
      </c>
      <c r="D8" s="522" t="s">
        <v>209</v>
      </c>
      <c r="E8" s="522"/>
      <c r="F8" s="522"/>
      <c r="G8" s="522"/>
      <c r="H8" s="522"/>
      <c r="I8" s="522"/>
      <c r="J8" s="522"/>
      <c r="K8" s="522"/>
      <c r="L8" s="522"/>
      <c r="M8" s="522"/>
      <c r="N8" s="522"/>
      <c r="O8" s="518"/>
      <c r="P8" s="517"/>
      <c r="Q8" s="517"/>
      <c r="R8" s="517"/>
      <c r="S8" s="517"/>
      <c r="T8" s="517"/>
      <c r="U8" s="517"/>
      <c r="V8" s="517"/>
      <c r="W8" s="517"/>
      <c r="X8" s="517"/>
      <c r="Y8" s="517"/>
      <c r="Z8" s="517"/>
      <c r="AA8" s="517"/>
      <c r="AB8" s="517"/>
      <c r="AC8" s="517"/>
    </row>
    <row r="9" spans="1:29" ht="28.5" customHeight="1" x14ac:dyDescent="0.3">
      <c r="A9" s="32"/>
      <c r="B9" s="27"/>
      <c r="C9" s="33"/>
      <c r="N9" s="29"/>
      <c r="O9" s="518"/>
      <c r="P9" s="517"/>
      <c r="Q9" s="517"/>
      <c r="R9" s="517"/>
      <c r="S9" s="517"/>
      <c r="T9" s="517"/>
      <c r="U9" s="517"/>
      <c r="V9" s="517"/>
      <c r="W9" s="517"/>
      <c r="X9" s="517"/>
      <c r="Y9" s="517"/>
      <c r="Z9" s="517"/>
      <c r="AA9" s="517"/>
      <c r="AB9" s="517"/>
      <c r="AC9" s="517"/>
    </row>
    <row r="10" spans="1:29" ht="28.5" customHeight="1" x14ac:dyDescent="0.3">
      <c r="A10" s="34" t="s">
        <v>210</v>
      </c>
      <c r="B10" s="35"/>
      <c r="C10" s="36">
        <f>IF(C5=0,'Calcul IR 2'!O30,'Calcul IR 2'!O30+0.5)</f>
        <v>2</v>
      </c>
      <c r="N10" s="29"/>
      <c r="O10" s="518"/>
      <c r="P10" s="517"/>
      <c r="Q10" s="517"/>
      <c r="R10" s="517"/>
      <c r="S10" s="517"/>
      <c r="T10" s="517"/>
      <c r="U10" s="517"/>
      <c r="V10" s="517"/>
      <c r="W10" s="517"/>
      <c r="X10" s="517"/>
      <c r="Y10" s="517"/>
      <c r="Z10" s="517"/>
      <c r="AA10" s="517"/>
      <c r="AB10" s="517"/>
      <c r="AC10" s="517"/>
    </row>
    <row r="11" spans="1:29" ht="28.5" customHeight="1" x14ac:dyDescent="0.3">
      <c r="A11" s="32"/>
      <c r="B11" s="27"/>
      <c r="C11" s="33"/>
      <c r="N11" s="29"/>
      <c r="O11" s="518"/>
      <c r="P11" s="517"/>
      <c r="Q11" s="517"/>
      <c r="R11" s="517"/>
      <c r="S11" s="517"/>
      <c r="T11" s="517"/>
      <c r="U11" s="517"/>
      <c r="V11" s="517"/>
      <c r="W11" s="517"/>
      <c r="X11" s="517"/>
      <c r="Y11" s="517"/>
      <c r="Z11" s="517"/>
      <c r="AA11" s="517"/>
      <c r="AB11" s="517"/>
      <c r="AC11" s="517"/>
    </row>
    <row r="12" spans="1:29" ht="28.5" customHeight="1" x14ac:dyDescent="0.3">
      <c r="A12" s="37" t="s">
        <v>211</v>
      </c>
      <c r="B12" s="38"/>
      <c r="C12" s="138">
        <f>IF(OR(C3="Célibataire",C3="Divorcé",C3="Veuf",C3="Concubinage"),'Calcul IR 2'!I20,'Calcul IR 2'!I39)</f>
        <v>11320.08</v>
      </c>
      <c r="N12" s="29"/>
      <c r="O12" s="518"/>
      <c r="P12" s="517"/>
      <c r="Q12" s="517"/>
      <c r="R12" s="517"/>
      <c r="S12" s="517"/>
      <c r="T12" s="517"/>
      <c r="U12" s="517"/>
      <c r="V12" s="517"/>
      <c r="W12" s="517"/>
      <c r="X12" s="517"/>
      <c r="Y12" s="517"/>
      <c r="Z12" s="517"/>
      <c r="AA12" s="517"/>
      <c r="AB12" s="517"/>
      <c r="AC12" s="517"/>
    </row>
    <row r="13" spans="1:29" ht="28.5" customHeight="1" x14ac:dyDescent="0.3">
      <c r="A13" s="37" t="s">
        <v>193</v>
      </c>
      <c r="B13" s="38"/>
      <c r="C13" s="45">
        <f>IF(OR(C3="Célibataire",C3="Divorcé",C3="Veuf",C3="Concubinage"),'Calcul IR 2'!I21, 'Calcul IR 2'!I40)</f>
        <v>0</v>
      </c>
      <c r="D13" s="523" t="s">
        <v>212</v>
      </c>
      <c r="E13" s="523"/>
      <c r="F13" s="523"/>
      <c r="G13" s="523"/>
      <c r="H13" s="523"/>
      <c r="I13" s="523"/>
      <c r="J13" s="523"/>
      <c r="K13" s="523"/>
      <c r="L13" s="523"/>
      <c r="M13" s="523"/>
      <c r="N13" s="524"/>
      <c r="O13" s="518"/>
      <c r="P13" s="517"/>
      <c r="Q13" s="517"/>
      <c r="R13" s="517"/>
      <c r="S13" s="517"/>
      <c r="T13" s="517"/>
      <c r="U13" s="517"/>
      <c r="V13" s="517"/>
      <c r="W13" s="517"/>
      <c r="X13" s="517"/>
      <c r="Y13" s="517"/>
      <c r="Z13" s="517"/>
      <c r="AA13" s="517"/>
      <c r="AB13" s="517"/>
      <c r="AC13" s="517"/>
    </row>
    <row r="14" spans="1:29" ht="34.5" customHeight="1" x14ac:dyDescent="0.3">
      <c r="A14" s="39" t="s">
        <v>45</v>
      </c>
      <c r="B14" s="40"/>
      <c r="C14" s="41">
        <f>IF(OR(C3="Célibataire",C3="Divorcé",C3="Veuf",C3="Concubinage"),'Calcul IR 2'!I22, 'Calcul IR 2'!I41)</f>
        <v>11320.08</v>
      </c>
      <c r="D14" s="137">
        <f>IF((C14-'Etat Civil'!G28)&lt;=0,0-'Etat Civil'!G29,C14-'Etat Civil'!G28-'Etat Civil'!G29)</f>
        <v>11320.08</v>
      </c>
      <c r="N14" s="29"/>
      <c r="O14" s="518"/>
      <c r="P14" s="517"/>
      <c r="Q14" s="517"/>
      <c r="R14" s="517"/>
      <c r="S14" s="517"/>
      <c r="T14" s="517"/>
      <c r="U14" s="517"/>
      <c r="V14" s="517"/>
      <c r="W14" s="517"/>
      <c r="X14" s="517"/>
      <c r="Y14" s="517"/>
      <c r="Z14" s="517"/>
      <c r="AA14" s="517"/>
      <c r="AB14" s="517"/>
      <c r="AC14" s="517"/>
    </row>
    <row r="15" spans="1:29" x14ac:dyDescent="0.3">
      <c r="A15" s="525" t="s">
        <v>213</v>
      </c>
      <c r="B15" s="526"/>
      <c r="C15" s="526"/>
      <c r="D15" s="526"/>
      <c r="E15" s="526"/>
      <c r="F15" s="526"/>
      <c r="G15" s="526"/>
      <c r="H15" s="526"/>
      <c r="I15" s="526"/>
      <c r="J15" s="526"/>
      <c r="K15" s="526"/>
      <c r="L15" s="526"/>
      <c r="M15" s="526"/>
      <c r="N15" s="527"/>
      <c r="O15" s="518"/>
      <c r="P15" s="517"/>
      <c r="Q15" s="517"/>
      <c r="R15" s="517"/>
      <c r="S15" s="517"/>
      <c r="T15" s="517"/>
      <c r="U15" s="517"/>
      <c r="V15" s="517"/>
      <c r="W15" s="517"/>
      <c r="X15" s="517"/>
      <c r="Y15" s="517"/>
      <c r="Z15" s="517"/>
      <c r="AA15" s="517"/>
      <c r="AB15" s="517"/>
      <c r="AC15" s="517"/>
    </row>
    <row r="16" spans="1:29" x14ac:dyDescent="0.3">
      <c r="A16" s="25"/>
      <c r="N16" s="29"/>
      <c r="O16" s="518"/>
      <c r="P16" s="517"/>
      <c r="Q16" s="517"/>
      <c r="R16" s="517"/>
      <c r="S16" s="517"/>
      <c r="T16" s="517"/>
      <c r="U16" s="517"/>
      <c r="V16" s="517"/>
      <c r="W16" s="517"/>
      <c r="X16" s="517"/>
      <c r="Y16" s="517"/>
      <c r="Z16" s="517"/>
      <c r="AA16" s="517"/>
      <c r="AB16" s="517"/>
      <c r="AC16" s="517"/>
    </row>
    <row r="17" spans="1:29" hidden="1" x14ac:dyDescent="0.3">
      <c r="A17" s="25"/>
      <c r="N17" s="29"/>
      <c r="O17" s="518"/>
      <c r="P17" s="517"/>
      <c r="Q17" s="517"/>
      <c r="R17" s="517"/>
      <c r="S17" s="517"/>
      <c r="T17" s="517"/>
      <c r="U17" s="517"/>
      <c r="V17" s="517"/>
      <c r="W17" s="517"/>
      <c r="X17" s="517"/>
      <c r="Y17" s="517"/>
      <c r="Z17" s="517"/>
      <c r="AA17" s="517"/>
      <c r="AB17" s="517"/>
      <c r="AC17" s="517"/>
    </row>
    <row r="18" spans="1:29" ht="15" hidden="1" customHeight="1" x14ac:dyDescent="0.3">
      <c r="A18" s="25"/>
      <c r="N18" s="29"/>
      <c r="O18" s="518"/>
      <c r="P18" s="517"/>
      <c r="Q18" s="517"/>
      <c r="R18" s="517"/>
      <c r="S18" s="517"/>
      <c r="T18" s="517"/>
      <c r="U18" s="517"/>
      <c r="V18" s="517"/>
      <c r="W18" s="517"/>
      <c r="X18" s="517"/>
      <c r="Y18" s="517"/>
      <c r="Z18" s="517"/>
      <c r="AA18" s="517"/>
      <c r="AB18" s="517"/>
      <c r="AC18" s="517"/>
    </row>
    <row r="19" spans="1:29" ht="15" thickBot="1" x14ac:dyDescent="0.35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4"/>
      <c r="O19" s="518"/>
      <c r="P19" s="517"/>
      <c r="Q19" s="517"/>
      <c r="R19" s="517"/>
      <c r="S19" s="517"/>
      <c r="T19" s="517"/>
      <c r="U19" s="517"/>
      <c r="V19" s="517"/>
      <c r="W19" s="517"/>
      <c r="X19" s="517"/>
      <c r="Y19" s="517"/>
      <c r="Z19" s="517"/>
      <c r="AA19" s="517"/>
      <c r="AB19" s="517"/>
      <c r="AC19" s="517"/>
    </row>
  </sheetData>
  <sheetProtection algorithmName="SHA-512" hashValue="YfeYypQJw51q8moqcb8/KK2Qhnbs+HJEo9a8ZfCh9Mq5xlQWDMxZbw00h0okyzZTRX0FEmWd05NDZpIyprJvow==" saltValue="Zas5lBxUecp2txmBDGMuZQ==" spinCount="100000" sheet="1" objects="1" scenarios="1" selectLockedCells="1" selectUnlockedCells="1"/>
  <mergeCells count="7">
    <mergeCell ref="A1:N1"/>
    <mergeCell ref="O1:AC19"/>
    <mergeCell ref="K2:N2"/>
    <mergeCell ref="D5:N5"/>
    <mergeCell ref="D8:N8"/>
    <mergeCell ref="D13:N13"/>
    <mergeCell ref="A15:N15"/>
  </mergeCells>
  <hyperlinks>
    <hyperlink ref="O1" r:id="rId1" xr:uid="{254D47A2-73D5-4FCF-A727-3CBB4FD634C5}"/>
  </hyperlinks>
  <pageMargins left="0.7" right="0.7" top="0.75" bottom="0.75" header="0.3" footer="0.3"/>
  <pageSetup paperSize="9" orientation="portrait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0596-659F-427F-9B2A-B5C41758CC61}">
  <dimension ref="A1:S41"/>
  <sheetViews>
    <sheetView zoomScale="85" zoomScaleNormal="85" workbookViewId="0">
      <selection activeCell="J4" sqref="J4"/>
    </sheetView>
  </sheetViews>
  <sheetFormatPr baseColWidth="10" defaultColWidth="10.19921875" defaultRowHeight="14.4" x14ac:dyDescent="0.3"/>
  <cols>
    <col min="1" max="1" width="10.19921875" style="21"/>
    <col min="2" max="2" width="11.8984375" style="21" bestFit="1" customWidth="1"/>
    <col min="3" max="3" width="12" style="21" bestFit="1" customWidth="1"/>
    <col min="4" max="4" width="10.19921875" style="21"/>
    <col min="5" max="5" width="11" style="21" bestFit="1" customWidth="1"/>
    <col min="6" max="6" width="11.8984375" style="21" bestFit="1" customWidth="1"/>
    <col min="7" max="7" width="4.59765625" style="21" customWidth="1"/>
    <col min="8" max="8" width="26" style="21" customWidth="1"/>
    <col min="9" max="9" width="10.8984375" style="21" bestFit="1" customWidth="1"/>
    <col min="10" max="10" width="11.8984375" style="21" bestFit="1" customWidth="1"/>
    <col min="11" max="14" width="10.19921875" style="21"/>
    <col min="15" max="15" width="24.19921875" style="21" customWidth="1"/>
    <col min="16" max="16384" width="10.19921875" style="21"/>
  </cols>
  <sheetData>
    <row r="1" spans="1:15" ht="15" thickBot="1" x14ac:dyDescent="0.35">
      <c r="A1" s="528" t="s">
        <v>214</v>
      </c>
      <c r="B1" s="529"/>
      <c r="C1" s="529"/>
      <c r="D1" s="529"/>
      <c r="E1" s="529"/>
      <c r="F1" s="529"/>
      <c r="G1" s="529"/>
      <c r="H1" s="529"/>
      <c r="I1" s="529"/>
      <c r="J1" s="530"/>
    </row>
    <row r="3" spans="1:15" x14ac:dyDescent="0.3">
      <c r="B3" s="505" t="s">
        <v>215</v>
      </c>
      <c r="C3" s="505"/>
      <c r="D3" s="505"/>
      <c r="E3" s="505"/>
      <c r="F3" s="505"/>
      <c r="H3" s="21" t="s">
        <v>172</v>
      </c>
      <c r="J3" s="140">
        <f>(('Etat Civil'!H8*'Prévision retraite'!B22)*0.9)+(('Etat Civil'!H13*'Prévision retraite'!B22)*0.9)+'Etat Civil'!H10*'Prévision retraite'!B22+'Etat Civil'!H15*'Prévision retraite'!B22+SUM('Prévision retraite'!F14:F17)*0.8</f>
        <v>38808</v>
      </c>
    </row>
    <row r="4" spans="1:15" x14ac:dyDescent="0.3">
      <c r="H4" s="21" t="s">
        <v>216</v>
      </c>
      <c r="J4" s="21">
        <f>'Prévision retraite'!C22</f>
        <v>2</v>
      </c>
      <c r="M4" s="21">
        <v>0</v>
      </c>
      <c r="O4" s="21" t="s">
        <v>174</v>
      </c>
    </row>
    <row r="5" spans="1:15" x14ac:dyDescent="0.3">
      <c r="B5" s="56">
        <v>0</v>
      </c>
      <c r="C5" s="56">
        <v>10064</v>
      </c>
      <c r="D5" s="22">
        <f>0</f>
        <v>0</v>
      </c>
      <c r="E5" s="56">
        <f>0</f>
        <v>0</v>
      </c>
      <c r="F5" s="56"/>
      <c r="M5" s="21">
        <v>1</v>
      </c>
      <c r="O5" s="21" t="s">
        <v>175</v>
      </c>
    </row>
    <row r="6" spans="1:15" x14ac:dyDescent="0.3">
      <c r="B6" s="56">
        <v>10065</v>
      </c>
      <c r="C6" s="56">
        <v>27794</v>
      </c>
      <c r="D6" s="22">
        <f>0.14</f>
        <v>0.14000000000000001</v>
      </c>
      <c r="E6" s="56">
        <f>(C6-B6)*D6</f>
        <v>2482.0600000000004</v>
      </c>
      <c r="F6" s="56"/>
      <c r="M6" s="21">
        <v>2</v>
      </c>
      <c r="O6" s="21" t="s">
        <v>176</v>
      </c>
    </row>
    <row r="7" spans="1:15" x14ac:dyDescent="0.3">
      <c r="B7" s="56">
        <v>27795</v>
      </c>
      <c r="C7" s="56">
        <v>74517</v>
      </c>
      <c r="D7" s="22">
        <f>0.3</f>
        <v>0.3</v>
      </c>
      <c r="E7" s="56">
        <f>(C7-B7)*0.3</f>
        <v>14016.6</v>
      </c>
      <c r="F7" s="56">
        <f>E7+E6</f>
        <v>16498.66</v>
      </c>
      <c r="M7" s="21">
        <v>3</v>
      </c>
    </row>
    <row r="8" spans="1:15" x14ac:dyDescent="0.3">
      <c r="B8" s="56">
        <v>74518</v>
      </c>
      <c r="C8" s="56">
        <v>157807</v>
      </c>
      <c r="D8" s="22">
        <v>0.41</v>
      </c>
      <c r="E8" s="56">
        <f>(C8-B8)*D8</f>
        <v>34148.49</v>
      </c>
      <c r="F8" s="56">
        <f>SUM(E6:E8)</f>
        <v>50647.149999999994</v>
      </c>
      <c r="M8" s="21">
        <v>4</v>
      </c>
    </row>
    <row r="9" spans="1:15" x14ac:dyDescent="0.3">
      <c r="D9" s="22">
        <f>0.45</f>
        <v>0.45</v>
      </c>
      <c r="M9" s="21">
        <v>5</v>
      </c>
    </row>
    <row r="10" spans="1:15" x14ac:dyDescent="0.3">
      <c r="H10" s="21" t="s">
        <v>217</v>
      </c>
      <c r="I10" s="56">
        <f>IF(J3&gt;=C8, (J3-C8)*D9+E8+E7+E6, IF(J3&gt;=C7, (J3-C7)*D8+E7+E6, IF(J3&gt;=C6, (J3-C6)*D7+E6, IF(J3&gt;=C5, (J3-C5)*D6, 0))))</f>
        <v>5786.26</v>
      </c>
    </row>
    <row r="11" spans="1:15" x14ac:dyDescent="0.3">
      <c r="B11" s="21" t="s">
        <v>218</v>
      </c>
      <c r="H11" s="21" t="s">
        <v>219</v>
      </c>
      <c r="I11" s="56">
        <f>IF(J3&gt;=C28, (J3-C28)*D29+E28+E27+E26, IF(J3&gt;=C27, (J3-C27)*D28+E27+E26, IF(J3&gt;=C26, (J3-C26)*D27+E26, IF(J3&gt;=C25, (J3-C25)*D26, 0))))</f>
        <v>2615.2000000000003</v>
      </c>
    </row>
    <row r="12" spans="1:15" x14ac:dyDescent="0.3">
      <c r="I12" s="23"/>
    </row>
    <row r="13" spans="1:15" x14ac:dyDescent="0.3">
      <c r="H13" s="21" t="s">
        <v>220</v>
      </c>
      <c r="I13" s="23">
        <f>IF('Impôt Retraite'!C5="Parent isolé (T)", 1,0)</f>
        <v>0</v>
      </c>
    </row>
    <row r="14" spans="1:15" x14ac:dyDescent="0.3">
      <c r="H14" s="21" t="s">
        <v>221</v>
      </c>
      <c r="I14" s="23">
        <f>IF('Impôt Retraite'!C5="Enfant élevé seul (L)", 1, 0)</f>
        <v>0</v>
      </c>
    </row>
    <row r="15" spans="1:15" x14ac:dyDescent="0.3">
      <c r="H15" s="21" t="s">
        <v>200</v>
      </c>
      <c r="I15" s="23">
        <f>IF('Impôt Retraite'!C5="Invalidité", 1,0)</f>
        <v>0</v>
      </c>
    </row>
    <row r="16" spans="1:15" ht="15" thickBot="1" x14ac:dyDescent="0.35">
      <c r="H16" s="21" t="s">
        <v>222</v>
      </c>
      <c r="I16" s="23">
        <f>IF('Impôt Retraite'!C5=0, (J4-1)*2, (J4-1)*2-1)</f>
        <v>2</v>
      </c>
    </row>
    <row r="17" spans="1:17" x14ac:dyDescent="0.3">
      <c r="A17" s="53">
        <v>1567</v>
      </c>
      <c r="B17" s="46" t="s">
        <v>223</v>
      </c>
      <c r="C17" s="46"/>
      <c r="D17" s="46"/>
      <c r="E17" s="46"/>
      <c r="F17" s="47"/>
      <c r="H17" s="21" t="s">
        <v>186</v>
      </c>
      <c r="I17" s="56">
        <f>I10-A17*I16-I13*A19-I14*A18-I15*A20</f>
        <v>2652.26</v>
      </c>
      <c r="O17" s="21" t="s">
        <v>187</v>
      </c>
      <c r="P17" s="21">
        <v>0</v>
      </c>
      <c r="Q17" s="21">
        <v>1</v>
      </c>
    </row>
    <row r="18" spans="1:17" x14ac:dyDescent="0.3">
      <c r="A18" s="54">
        <v>936</v>
      </c>
      <c r="B18" s="48" t="s">
        <v>188</v>
      </c>
      <c r="C18" s="48"/>
      <c r="D18" s="48"/>
      <c r="E18" s="48"/>
      <c r="F18" s="49"/>
      <c r="I18" s="23"/>
      <c r="P18" s="21">
        <v>1</v>
      </c>
      <c r="Q18" s="21">
        <v>1.5</v>
      </c>
    </row>
    <row r="19" spans="1:17" x14ac:dyDescent="0.3">
      <c r="A19" s="54">
        <f>3697-1567</f>
        <v>2130</v>
      </c>
      <c r="B19" s="48" t="s">
        <v>224</v>
      </c>
      <c r="C19" s="48"/>
      <c r="D19" s="48"/>
      <c r="E19" s="48"/>
      <c r="F19" s="49"/>
      <c r="I19" s="23"/>
      <c r="P19" s="21">
        <v>2</v>
      </c>
      <c r="Q19" s="21">
        <v>2</v>
      </c>
    </row>
    <row r="20" spans="1:17" x14ac:dyDescent="0.3">
      <c r="A20" s="54">
        <v>3129</v>
      </c>
      <c r="B20" s="48" t="s">
        <v>225</v>
      </c>
      <c r="C20" s="48"/>
      <c r="D20" s="48"/>
      <c r="E20" s="48"/>
      <c r="F20" s="49"/>
      <c r="H20" s="21" t="s">
        <v>191</v>
      </c>
      <c r="I20" s="56">
        <f>IF(I11&gt;I17, I11, I17)</f>
        <v>2652.26</v>
      </c>
      <c r="P20" s="21">
        <v>3</v>
      </c>
      <c r="Q20" s="21">
        <v>3</v>
      </c>
    </row>
    <row r="21" spans="1:17" ht="15" thickBot="1" x14ac:dyDescent="0.35">
      <c r="A21" s="50"/>
      <c r="B21" s="51" t="s">
        <v>226</v>
      </c>
      <c r="C21" s="51"/>
      <c r="D21" s="51"/>
      <c r="E21" s="51"/>
      <c r="F21" s="52"/>
      <c r="H21" s="21" t="s">
        <v>193</v>
      </c>
      <c r="I21" s="56">
        <f>IF(I20&lt;=1611, (1611*0.75-I20*0.75), 0)</f>
        <v>0</v>
      </c>
      <c r="P21" s="21">
        <v>4</v>
      </c>
      <c r="Q21" s="21">
        <v>4</v>
      </c>
    </row>
    <row r="22" spans="1:17" x14ac:dyDescent="0.3">
      <c r="H22" s="21" t="s">
        <v>194</v>
      </c>
      <c r="I22" s="56">
        <f>IF(I21&gt;I20, 0, I20-I21)</f>
        <v>2652.26</v>
      </c>
    </row>
    <row r="23" spans="1:17" x14ac:dyDescent="0.3">
      <c r="B23" s="505" t="s">
        <v>195</v>
      </c>
      <c r="C23" s="505"/>
      <c r="D23" s="505"/>
      <c r="E23" s="505"/>
      <c r="F23" s="505"/>
      <c r="O23" s="21" t="s">
        <v>28</v>
      </c>
      <c r="P23" s="21">
        <v>0</v>
      </c>
      <c r="Q23" s="21">
        <v>2</v>
      </c>
    </row>
    <row r="24" spans="1:17" x14ac:dyDescent="0.3">
      <c r="P24" s="21">
        <v>1</v>
      </c>
      <c r="Q24" s="21">
        <v>2.5</v>
      </c>
    </row>
    <row r="25" spans="1:17" x14ac:dyDescent="0.3">
      <c r="B25" s="56">
        <v>0</v>
      </c>
      <c r="C25" s="56">
        <f>C5*$J$4</f>
        <v>20128</v>
      </c>
      <c r="D25" s="22">
        <f>0</f>
        <v>0</v>
      </c>
      <c r="E25" s="56">
        <f>0</f>
        <v>0</v>
      </c>
      <c r="F25" s="56"/>
      <c r="P25" s="21">
        <v>2</v>
      </c>
      <c r="Q25" s="21">
        <v>3</v>
      </c>
    </row>
    <row r="26" spans="1:17" x14ac:dyDescent="0.3">
      <c r="B26" s="56">
        <f>B6*$J$4</f>
        <v>20130</v>
      </c>
      <c r="C26" s="56">
        <f>C6*$J$4</f>
        <v>55588</v>
      </c>
      <c r="D26" s="22">
        <f>0.14</f>
        <v>0.14000000000000001</v>
      </c>
      <c r="E26" s="56">
        <f>(C26-B26)*D26</f>
        <v>4964.1200000000008</v>
      </c>
      <c r="F26" s="56"/>
      <c r="P26" s="21">
        <v>3</v>
      </c>
      <c r="Q26" s="21">
        <v>4</v>
      </c>
    </row>
    <row r="27" spans="1:17" x14ac:dyDescent="0.3">
      <c r="B27" s="56">
        <f>B7*$J$4</f>
        <v>55590</v>
      </c>
      <c r="C27" s="56">
        <f>C7*$J$4</f>
        <v>149034</v>
      </c>
      <c r="D27" s="22">
        <f>0.3</f>
        <v>0.3</v>
      </c>
      <c r="E27" s="56">
        <f>(C27-B27)*0.3</f>
        <v>28033.200000000001</v>
      </c>
      <c r="F27" s="56">
        <f>E27+E26</f>
        <v>32997.32</v>
      </c>
      <c r="P27" s="21">
        <v>4</v>
      </c>
      <c r="Q27" s="21">
        <v>5</v>
      </c>
    </row>
    <row r="28" spans="1:17" x14ac:dyDescent="0.3">
      <c r="B28" s="56">
        <f>B8*$J$4</f>
        <v>149036</v>
      </c>
      <c r="C28" s="56">
        <f>C8*$J$4</f>
        <v>315614</v>
      </c>
      <c r="D28" s="22">
        <v>0.41</v>
      </c>
      <c r="E28" s="56">
        <f>(C28-B28)*D28</f>
        <v>68296.98</v>
      </c>
      <c r="F28" s="56">
        <f>SUM(E26:E28)</f>
        <v>101294.29999999999</v>
      </c>
    </row>
    <row r="29" spans="1:17" x14ac:dyDescent="0.3">
      <c r="D29" s="22">
        <f>0.45</f>
        <v>0.45</v>
      </c>
    </row>
    <row r="30" spans="1:17" ht="15" thickBot="1" x14ac:dyDescent="0.35">
      <c r="O30" s="21">
        <f>IF(OR('Impôt Retraite'!C3="Célibataire",'Impôt Retraite'!C3="Divorcé",'Impôt Retraite'!C3="Veuf",'Impôt Retraite'!C3="Concubinage"), VLOOKUP('Impôt Retraite'!C4, 'Calcul IR Bis Retraite'!P17:Q21, 2, FALSE), VLOOKUP('Impôt Retraite'!C4, 'Calcul IR Bis Retraite'!P23:Q27, 2, FALSE))-IF('Etat Civil'!C20="Alternée",IF('Etat Civil'!G30=1,0.25,IF('Etat Civil'!G30=2,0.5,IF('Etat Civil'!G30=3,1,IF('Etat Civil'!G30=4,1.5,2)))),0)</f>
        <v>2</v>
      </c>
    </row>
    <row r="31" spans="1:17" ht="15" thickBot="1" x14ac:dyDescent="0.35">
      <c r="A31" s="528" t="s">
        <v>196</v>
      </c>
      <c r="B31" s="529"/>
      <c r="C31" s="529"/>
      <c r="D31" s="529"/>
      <c r="E31" s="529"/>
      <c r="F31" s="529"/>
      <c r="G31" s="529"/>
      <c r="H31" s="529"/>
      <c r="I31" s="529"/>
      <c r="J31" s="530"/>
    </row>
    <row r="32" spans="1:17" x14ac:dyDescent="0.3">
      <c r="A32" s="246"/>
      <c r="B32" s="246"/>
      <c r="C32" s="246"/>
      <c r="D32" s="246"/>
      <c r="E32" s="246"/>
      <c r="F32" s="246"/>
      <c r="G32" s="246"/>
      <c r="H32" s="246"/>
      <c r="I32" s="246"/>
      <c r="J32" s="246"/>
    </row>
    <row r="33" spans="2:19" x14ac:dyDescent="0.3">
      <c r="B33" s="56">
        <f>B5*2</f>
        <v>0</v>
      </c>
      <c r="C33" s="56">
        <f>C5*2</f>
        <v>20128</v>
      </c>
      <c r="D33" s="22">
        <v>0</v>
      </c>
      <c r="E33" s="56">
        <v>0</v>
      </c>
      <c r="F33" s="56"/>
      <c r="H33" s="21" t="s">
        <v>227</v>
      </c>
      <c r="I33" s="56">
        <f>IF(J3&gt;=C37, (J3-C37)*D38+E37+E36+E34, IF(J3&gt;=C36, (J3-C36)*D37+E36+E34, IF(J3&gt;=C34, (J3-C34)*D36+E34, IF(J3&gt;=C33, (J3-C33)*D34, 0))))</f>
        <v>2615.2000000000003</v>
      </c>
    </row>
    <row r="34" spans="2:19" x14ac:dyDescent="0.3">
      <c r="B34" s="56">
        <f t="shared" ref="B34:C34" si="0">B6*2</f>
        <v>20130</v>
      </c>
      <c r="C34" s="56">
        <f t="shared" si="0"/>
        <v>55588</v>
      </c>
      <c r="D34" s="22">
        <v>0.14000000000000001</v>
      </c>
      <c r="E34" s="56">
        <f>(C34-B34)*D34</f>
        <v>4964.1200000000008</v>
      </c>
      <c r="F34" s="56"/>
      <c r="H34" s="21" t="s">
        <v>219</v>
      </c>
      <c r="I34" s="56">
        <f>IF(J3&gt;=C28, (J3-C28)*D29+E28+E27+E26, IF(J3&gt;=C27, (J3-C27)*D28+E27+E26, IF(J3&gt;=C26, (J3-C26)*D27+E26, IF(J3&gt;=C25, (J3-C25)*D26, 0))))</f>
        <v>2615.2000000000003</v>
      </c>
      <c r="O34" s="21">
        <f>1196*1.01</f>
        <v>1207.96</v>
      </c>
    </row>
    <row r="35" spans="2:19" x14ac:dyDescent="0.3">
      <c r="B35" s="56"/>
      <c r="C35" s="56"/>
      <c r="D35" s="22"/>
      <c r="E35" s="56"/>
      <c r="F35" s="56"/>
      <c r="H35" s="21" t="s">
        <v>200</v>
      </c>
      <c r="I35" s="23">
        <f>IF('Impôt Retraite'!C5="Invalidité", 1,0)</f>
        <v>0</v>
      </c>
      <c r="O35" s="21">
        <f>1970*(1+O36)</f>
        <v>1989.7</v>
      </c>
      <c r="R35" s="21">
        <f>1208-0.75*1000</f>
        <v>458</v>
      </c>
      <c r="S35" s="21">
        <v>1611</v>
      </c>
    </row>
    <row r="36" spans="2:19" x14ac:dyDescent="0.3">
      <c r="B36" s="56">
        <f>B7*2</f>
        <v>55590</v>
      </c>
      <c r="C36" s="56">
        <f>C7*2</f>
        <v>149034</v>
      </c>
      <c r="D36" s="22">
        <v>0.3</v>
      </c>
      <c r="E36" s="56">
        <f>(C36-B36)*D36</f>
        <v>28033.200000000001</v>
      </c>
      <c r="F36" s="56">
        <f>E34+E36</f>
        <v>32997.32</v>
      </c>
      <c r="H36" s="21" t="s">
        <v>228</v>
      </c>
      <c r="I36" s="23">
        <f>MAX(0,IF('Impôt Retraite'!C5=0, (J4-2)*2, (J4-2)*2-1))</f>
        <v>0</v>
      </c>
      <c r="O36" s="21">
        <v>0.01</v>
      </c>
      <c r="S36" s="21">
        <v>2653</v>
      </c>
    </row>
    <row r="37" spans="2:19" x14ac:dyDescent="0.3">
      <c r="B37" s="56">
        <f>B8*2</f>
        <v>149036</v>
      </c>
      <c r="C37" s="56">
        <f>C8*2</f>
        <v>315614</v>
      </c>
      <c r="D37" s="22">
        <v>0.41</v>
      </c>
      <c r="E37" s="56">
        <f>(C37-B37)*D37</f>
        <v>68296.98</v>
      </c>
      <c r="F37" s="56">
        <f>E34+E36+E37</f>
        <v>101294.29999999999</v>
      </c>
      <c r="H37" s="21" t="s">
        <v>186</v>
      </c>
      <c r="I37" s="56">
        <f>I33-A17*I36-I35*A20</f>
        <v>2615.2000000000003</v>
      </c>
    </row>
    <row r="38" spans="2:19" x14ac:dyDescent="0.3">
      <c r="D38" s="22">
        <v>0.45</v>
      </c>
      <c r="I38" s="56"/>
    </row>
    <row r="39" spans="2:19" x14ac:dyDescent="0.3">
      <c r="H39" s="21" t="s">
        <v>191</v>
      </c>
      <c r="I39" s="56">
        <f>IF(I34&gt;I37, I34, I37)</f>
        <v>2615.2000000000003</v>
      </c>
    </row>
    <row r="40" spans="2:19" x14ac:dyDescent="0.3">
      <c r="H40" s="21" t="s">
        <v>193</v>
      </c>
      <c r="I40" s="56">
        <f>IF(I39&lt;=2653, 2653*0.75-I39*0.75, 0)</f>
        <v>28.349999999999909</v>
      </c>
    </row>
    <row r="41" spans="2:19" x14ac:dyDescent="0.3">
      <c r="H41" s="21" t="s">
        <v>194</v>
      </c>
      <c r="I41" s="56">
        <f>IF(I40&gt;I39, 0, I39-I40)</f>
        <v>2586.8500000000004</v>
      </c>
    </row>
  </sheetData>
  <sheetProtection algorithmName="SHA-512" hashValue="KZgBYl+03yFMJ+WUxoDecD7MCLb6wnkO2zlpII57o26QRvZVtf5wwjyMOY6QSM5jw9BErIfg4lFLGAGdUkBqBQ==" saltValue="XfsLd7NKuX8/YXzL36wB1Q==" spinCount="100000" sheet="1" objects="1" scenarios="1" selectLockedCells="1" selectUnlockedCells="1"/>
  <mergeCells count="4">
    <mergeCell ref="A1:J1"/>
    <mergeCell ref="B3:F3"/>
    <mergeCell ref="B23:F23"/>
    <mergeCell ref="A31:J31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1278-BFBF-460C-AC3E-EFACB6AE99D4}">
  <dimension ref="A1:AC19"/>
  <sheetViews>
    <sheetView workbookViewId="0">
      <selection activeCell="C8" sqref="C8"/>
    </sheetView>
  </sheetViews>
  <sheetFormatPr baseColWidth="10" defaultColWidth="10.19921875" defaultRowHeight="14.4" x14ac:dyDescent="0.3"/>
  <cols>
    <col min="1" max="1" width="10.19921875" style="24"/>
    <col min="2" max="2" width="20.3984375" style="24" customWidth="1"/>
    <col min="3" max="3" width="26.09765625" style="24" customWidth="1"/>
    <col min="4" max="4" width="15.69921875" style="24" bestFit="1" customWidth="1"/>
    <col min="5" max="16384" width="10.19921875" style="24"/>
  </cols>
  <sheetData>
    <row r="1" spans="1:29" ht="28.8" x14ac:dyDescent="0.55000000000000004">
      <c r="A1" s="513" t="s">
        <v>202</v>
      </c>
      <c r="B1" s="514"/>
      <c r="C1" s="514"/>
      <c r="D1" s="514"/>
      <c r="E1" s="514"/>
      <c r="F1" s="514"/>
      <c r="G1" s="514"/>
      <c r="H1" s="514"/>
      <c r="I1" s="514"/>
      <c r="J1" s="514"/>
      <c r="K1" s="514"/>
      <c r="L1" s="514"/>
      <c r="M1" s="514"/>
      <c r="N1" s="515"/>
      <c r="O1" s="516" t="s">
        <v>203</v>
      </c>
      <c r="P1" s="517"/>
      <c r="Q1" s="517"/>
      <c r="R1" s="517"/>
      <c r="S1" s="517"/>
      <c r="T1" s="517"/>
      <c r="U1" s="517"/>
      <c r="V1" s="517"/>
      <c r="W1" s="517"/>
      <c r="X1" s="517"/>
      <c r="Y1" s="517"/>
      <c r="Z1" s="517"/>
      <c r="AA1" s="517"/>
      <c r="AB1" s="517"/>
      <c r="AC1" s="517"/>
    </row>
    <row r="2" spans="1:29" ht="15.6" x14ac:dyDescent="0.3">
      <c r="A2" s="25"/>
      <c r="K2" s="519" t="s">
        <v>204</v>
      </c>
      <c r="L2" s="519"/>
      <c r="M2" s="519"/>
      <c r="N2" s="520"/>
      <c r="O2" s="518"/>
      <c r="P2" s="517"/>
      <c r="Q2" s="517"/>
      <c r="R2" s="517"/>
      <c r="S2" s="517"/>
      <c r="T2" s="517"/>
      <c r="U2" s="517"/>
      <c r="V2" s="517"/>
      <c r="W2" s="517"/>
      <c r="X2" s="517"/>
      <c r="Y2" s="517"/>
      <c r="Z2" s="517"/>
      <c r="AA2" s="517"/>
      <c r="AB2" s="517"/>
      <c r="AC2" s="517"/>
    </row>
    <row r="3" spans="1:29" ht="28.5" customHeight="1" x14ac:dyDescent="0.3">
      <c r="A3" s="26" t="s">
        <v>205</v>
      </c>
      <c r="B3" s="27"/>
      <c r="C3" s="28" t="str">
        <f>'Etat Civil'!C17</f>
        <v>Marié-Pacsé</v>
      </c>
      <c r="N3" s="29"/>
      <c r="O3" s="518"/>
      <c r="P3" s="517"/>
      <c r="Q3" s="517"/>
      <c r="R3" s="517"/>
      <c r="S3" s="517"/>
      <c r="T3" s="517"/>
      <c r="U3" s="517"/>
      <c r="V3" s="517"/>
      <c r="W3" s="517"/>
      <c r="X3" s="517"/>
      <c r="Y3" s="517"/>
      <c r="Z3" s="517"/>
      <c r="AA3" s="517"/>
      <c r="AB3" s="517"/>
      <c r="AC3" s="517"/>
    </row>
    <row r="4" spans="1:29" ht="28.5" customHeight="1" x14ac:dyDescent="0.3">
      <c r="A4" s="26" t="s">
        <v>206</v>
      </c>
      <c r="B4" s="27"/>
      <c r="C4" s="28">
        <v>0</v>
      </c>
      <c r="N4" s="29"/>
      <c r="O4" s="518"/>
      <c r="P4" s="517"/>
      <c r="Q4" s="517"/>
      <c r="R4" s="517"/>
      <c r="S4" s="517"/>
      <c r="T4" s="517"/>
      <c r="U4" s="517"/>
      <c r="V4" s="517"/>
      <c r="W4" s="517"/>
      <c r="X4" s="517"/>
      <c r="Y4" s="517"/>
      <c r="Z4" s="517"/>
      <c r="AA4" s="517"/>
      <c r="AB4" s="517"/>
      <c r="AC4" s="517"/>
    </row>
    <row r="5" spans="1:29" ht="28.5" customHeight="1" x14ac:dyDescent="0.3">
      <c r="A5" s="26" t="s">
        <v>34</v>
      </c>
      <c r="B5" s="27"/>
      <c r="C5" s="30">
        <f>IF('Etat Civil'!C19="Parent isolé (T)",0,'Etat Civil'!C19)</f>
        <v>0</v>
      </c>
      <c r="D5" s="521" t="s">
        <v>207</v>
      </c>
      <c r="E5" s="521"/>
      <c r="F5" s="521"/>
      <c r="G5" s="521"/>
      <c r="H5" s="521"/>
      <c r="I5" s="521"/>
      <c r="J5" s="521"/>
      <c r="K5" s="521"/>
      <c r="L5" s="521"/>
      <c r="M5" s="521"/>
      <c r="N5" s="521"/>
      <c r="O5" s="518"/>
      <c r="P5" s="517"/>
      <c r="Q5" s="517"/>
      <c r="R5" s="517"/>
      <c r="S5" s="517"/>
      <c r="T5" s="517"/>
      <c r="U5" s="517"/>
      <c r="V5" s="517"/>
      <c r="W5" s="517"/>
      <c r="X5" s="517"/>
      <c r="Y5" s="517"/>
      <c r="Z5" s="517"/>
      <c r="AA5" s="517"/>
      <c r="AB5" s="517"/>
      <c r="AC5" s="517"/>
    </row>
    <row r="6" spans="1:29" ht="28.5" customHeight="1" x14ac:dyDescent="0.3">
      <c r="A6" s="26"/>
      <c r="B6" s="27"/>
      <c r="C6" s="31"/>
      <c r="N6" s="29"/>
      <c r="O6" s="518"/>
      <c r="P6" s="517"/>
      <c r="Q6" s="517"/>
      <c r="R6" s="517"/>
      <c r="S6" s="517"/>
      <c r="T6" s="517"/>
      <c r="U6" s="517"/>
      <c r="V6" s="517"/>
      <c r="W6" s="517"/>
      <c r="X6" s="517"/>
      <c r="Y6" s="517"/>
      <c r="Z6" s="517"/>
      <c r="AA6" s="517"/>
      <c r="AB6" s="517"/>
      <c r="AC6" s="517"/>
    </row>
    <row r="7" spans="1:29" ht="28.5" hidden="1" customHeight="1" x14ac:dyDescent="0.3">
      <c r="A7" s="26"/>
      <c r="B7" s="27"/>
      <c r="C7" s="31"/>
      <c r="N7" s="29"/>
      <c r="O7" s="518"/>
      <c r="P7" s="517"/>
      <c r="Q7" s="517"/>
      <c r="R7" s="517"/>
      <c r="S7" s="517"/>
      <c r="T7" s="517"/>
      <c r="U7" s="517"/>
      <c r="V7" s="517"/>
      <c r="W7" s="517"/>
      <c r="X7" s="517"/>
      <c r="Y7" s="517"/>
      <c r="Z7" s="517"/>
      <c r="AA7" s="517"/>
      <c r="AB7" s="517"/>
      <c r="AC7" s="517"/>
    </row>
    <row r="8" spans="1:29" ht="28.5" customHeight="1" x14ac:dyDescent="0.3">
      <c r="A8" s="26" t="s">
        <v>208</v>
      </c>
      <c r="B8" s="27"/>
      <c r="C8" s="156">
        <f>'Calcul IR Bis Retraite'!J3</f>
        <v>38808</v>
      </c>
      <c r="D8" s="522" t="s">
        <v>209</v>
      </c>
      <c r="E8" s="522"/>
      <c r="F8" s="522"/>
      <c r="G8" s="522"/>
      <c r="H8" s="522"/>
      <c r="I8" s="522"/>
      <c r="J8" s="522"/>
      <c r="K8" s="522"/>
      <c r="L8" s="522"/>
      <c r="M8" s="522"/>
      <c r="N8" s="522"/>
      <c r="O8" s="518"/>
      <c r="P8" s="517"/>
      <c r="Q8" s="517"/>
      <c r="R8" s="517"/>
      <c r="S8" s="517"/>
      <c r="T8" s="517"/>
      <c r="U8" s="517"/>
      <c r="V8" s="517"/>
      <c r="W8" s="517"/>
      <c r="X8" s="517"/>
      <c r="Y8" s="517"/>
      <c r="Z8" s="517"/>
      <c r="AA8" s="517"/>
      <c r="AB8" s="517"/>
      <c r="AC8" s="517"/>
    </row>
    <row r="9" spans="1:29" ht="28.5" customHeight="1" x14ac:dyDescent="0.3">
      <c r="A9" s="32"/>
      <c r="B9" s="27"/>
      <c r="C9" s="33"/>
      <c r="N9" s="29"/>
      <c r="O9" s="518"/>
      <c r="P9" s="517"/>
      <c r="Q9" s="517"/>
      <c r="R9" s="517"/>
      <c r="S9" s="517"/>
      <c r="T9" s="517"/>
      <c r="U9" s="517"/>
      <c r="V9" s="517"/>
      <c r="W9" s="517"/>
      <c r="X9" s="517"/>
      <c r="Y9" s="517"/>
      <c r="Z9" s="517"/>
      <c r="AA9" s="517"/>
      <c r="AB9" s="517"/>
      <c r="AC9" s="517"/>
    </row>
    <row r="10" spans="1:29" ht="28.5" customHeight="1" x14ac:dyDescent="0.3">
      <c r="A10" s="34" t="s">
        <v>210</v>
      </c>
      <c r="B10" s="35"/>
      <c r="C10" s="36">
        <f>IF(C5=0,'Calcul IR Bis Retraite'!O30,'Calcul IR Bis Retraite'!O30+0.5)</f>
        <v>2</v>
      </c>
      <c r="N10" s="29"/>
      <c r="O10" s="518"/>
      <c r="P10" s="517"/>
      <c r="Q10" s="517"/>
      <c r="R10" s="517"/>
      <c r="S10" s="517"/>
      <c r="T10" s="517"/>
      <c r="U10" s="517"/>
      <c r="V10" s="517"/>
      <c r="W10" s="517"/>
      <c r="X10" s="517"/>
      <c r="Y10" s="517"/>
      <c r="Z10" s="517"/>
      <c r="AA10" s="517"/>
      <c r="AB10" s="517"/>
      <c r="AC10" s="517"/>
    </row>
    <row r="11" spans="1:29" ht="28.5" customHeight="1" x14ac:dyDescent="0.3">
      <c r="A11" s="32"/>
      <c r="B11" s="27"/>
      <c r="C11" s="33"/>
      <c r="N11" s="29"/>
      <c r="O11" s="518"/>
      <c r="P11" s="517"/>
      <c r="Q11" s="517"/>
      <c r="R11" s="517"/>
      <c r="S11" s="517"/>
      <c r="T11" s="517"/>
      <c r="U11" s="517"/>
      <c r="V11" s="517"/>
      <c r="W11" s="517"/>
      <c r="X11" s="517"/>
      <c r="Y11" s="517"/>
      <c r="Z11" s="517"/>
      <c r="AA11" s="517"/>
      <c r="AB11" s="517"/>
      <c r="AC11" s="517"/>
    </row>
    <row r="12" spans="1:29" ht="28.5" customHeight="1" x14ac:dyDescent="0.3">
      <c r="A12" s="37" t="s">
        <v>211</v>
      </c>
      <c r="B12" s="38"/>
      <c r="C12" s="138">
        <f>IF(OR(C3="Célibataire",C3="Divorcé",C3="Veuf",C3="Concubinage"),'Calcul IR Bis Retraite'!I20, 'Calcul IR Bis Retraite'!I39)</f>
        <v>2615.2000000000003</v>
      </c>
      <c r="N12" s="29"/>
      <c r="O12" s="518"/>
      <c r="P12" s="517"/>
      <c r="Q12" s="517"/>
      <c r="R12" s="517"/>
      <c r="S12" s="517"/>
      <c r="T12" s="517"/>
      <c r="U12" s="517"/>
      <c r="V12" s="517"/>
      <c r="W12" s="517"/>
      <c r="X12" s="517"/>
      <c r="Y12" s="517"/>
      <c r="Z12" s="517"/>
      <c r="AA12" s="517"/>
      <c r="AB12" s="517"/>
      <c r="AC12" s="517"/>
    </row>
    <row r="13" spans="1:29" ht="28.5" customHeight="1" x14ac:dyDescent="0.3">
      <c r="A13" s="37" t="s">
        <v>193</v>
      </c>
      <c r="B13" s="38"/>
      <c r="C13" s="45">
        <f>IF(OR(C3="Célibataire",C3="Divorcé",C3="Veuf",C3="Concubinage"),'Calcul IR Bis Retraite'!I21, 'Calcul IR Bis Retraite'!I40)</f>
        <v>28.349999999999909</v>
      </c>
      <c r="D13" s="523" t="s">
        <v>229</v>
      </c>
      <c r="E13" s="523"/>
      <c r="F13" s="523"/>
      <c r="G13" s="523"/>
      <c r="H13" s="523"/>
      <c r="I13" s="523"/>
      <c r="J13" s="523"/>
      <c r="K13" s="523"/>
      <c r="L13" s="523"/>
      <c r="M13" s="523"/>
      <c r="N13" s="524"/>
      <c r="O13" s="518"/>
      <c r="P13" s="517"/>
      <c r="Q13" s="517"/>
      <c r="R13" s="517"/>
      <c r="S13" s="517"/>
      <c r="T13" s="517"/>
      <c r="U13" s="517"/>
      <c r="V13" s="517"/>
      <c r="W13" s="517"/>
      <c r="X13" s="517"/>
      <c r="Y13" s="517"/>
      <c r="Z13" s="517"/>
      <c r="AA13" s="517"/>
      <c r="AB13" s="517"/>
      <c r="AC13" s="517"/>
    </row>
    <row r="14" spans="1:29" ht="34.5" customHeight="1" x14ac:dyDescent="0.3">
      <c r="A14" s="39" t="s">
        <v>45</v>
      </c>
      <c r="B14" s="40"/>
      <c r="C14" s="41">
        <f>IF(OR(C3="Célibataire",C3="Divorcé",C3="Veuf",C3="Concubinage"),'Calcul IR Bis Retraite'!I22, 'Calcul IR Bis Retraite'!I41)</f>
        <v>2586.8500000000004</v>
      </c>
      <c r="D14" s="139">
        <f>C14</f>
        <v>2586.8500000000004</v>
      </c>
      <c r="N14" s="29"/>
      <c r="O14" s="518"/>
      <c r="P14" s="517"/>
      <c r="Q14" s="517"/>
      <c r="R14" s="517"/>
      <c r="S14" s="517"/>
      <c r="T14" s="517"/>
      <c r="U14" s="517"/>
      <c r="V14" s="517"/>
      <c r="W14" s="517"/>
      <c r="X14" s="517"/>
      <c r="Y14" s="517"/>
      <c r="Z14" s="517"/>
      <c r="AA14" s="517"/>
      <c r="AB14" s="517"/>
      <c r="AC14" s="517"/>
    </row>
    <row r="15" spans="1:29" x14ac:dyDescent="0.3">
      <c r="A15" s="525" t="s">
        <v>213</v>
      </c>
      <c r="B15" s="526"/>
      <c r="C15" s="526"/>
      <c r="D15" s="526"/>
      <c r="E15" s="526"/>
      <c r="F15" s="526"/>
      <c r="G15" s="526"/>
      <c r="H15" s="526"/>
      <c r="I15" s="526"/>
      <c r="J15" s="526"/>
      <c r="K15" s="526"/>
      <c r="L15" s="526"/>
      <c r="M15" s="526"/>
      <c r="N15" s="527"/>
      <c r="O15" s="518"/>
      <c r="P15" s="517"/>
      <c r="Q15" s="517"/>
      <c r="R15" s="517"/>
      <c r="S15" s="517"/>
      <c r="T15" s="517"/>
      <c r="U15" s="517"/>
      <c r="V15" s="517"/>
      <c r="W15" s="517"/>
      <c r="X15" s="517"/>
      <c r="Y15" s="517"/>
      <c r="Z15" s="517"/>
      <c r="AA15" s="517"/>
      <c r="AB15" s="517"/>
      <c r="AC15" s="517"/>
    </row>
    <row r="16" spans="1:29" x14ac:dyDescent="0.3">
      <c r="A16" s="25"/>
      <c r="N16" s="29"/>
      <c r="O16" s="518"/>
      <c r="P16" s="517"/>
      <c r="Q16" s="517"/>
      <c r="R16" s="517"/>
      <c r="S16" s="517"/>
      <c r="T16" s="517"/>
      <c r="U16" s="517"/>
      <c r="V16" s="517"/>
      <c r="W16" s="517"/>
      <c r="X16" s="517"/>
      <c r="Y16" s="517"/>
      <c r="Z16" s="517"/>
      <c r="AA16" s="517"/>
      <c r="AB16" s="517"/>
      <c r="AC16" s="517"/>
    </row>
    <row r="17" spans="1:29" hidden="1" x14ac:dyDescent="0.3">
      <c r="A17" s="25"/>
      <c r="N17" s="29"/>
      <c r="O17" s="518"/>
      <c r="P17" s="517"/>
      <c r="Q17" s="517"/>
      <c r="R17" s="517"/>
      <c r="S17" s="517"/>
      <c r="T17" s="517"/>
      <c r="U17" s="517"/>
      <c r="V17" s="517"/>
      <c r="W17" s="517"/>
      <c r="X17" s="517"/>
      <c r="Y17" s="517"/>
      <c r="Z17" s="517"/>
      <c r="AA17" s="517"/>
      <c r="AB17" s="517"/>
      <c r="AC17" s="517"/>
    </row>
    <row r="18" spans="1:29" ht="15" hidden="1" customHeight="1" x14ac:dyDescent="0.3">
      <c r="A18" s="25"/>
      <c r="N18" s="29"/>
      <c r="O18" s="518"/>
      <c r="P18" s="517"/>
      <c r="Q18" s="517"/>
      <c r="R18" s="517"/>
      <c r="S18" s="517"/>
      <c r="T18" s="517"/>
      <c r="U18" s="517"/>
      <c r="V18" s="517"/>
      <c r="W18" s="517"/>
      <c r="X18" s="517"/>
      <c r="Y18" s="517"/>
      <c r="Z18" s="517"/>
      <c r="AA18" s="517"/>
      <c r="AB18" s="517"/>
      <c r="AC18" s="517"/>
    </row>
    <row r="19" spans="1:29" ht="15" thickBot="1" x14ac:dyDescent="0.35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4"/>
      <c r="O19" s="518"/>
      <c r="P19" s="517"/>
      <c r="Q19" s="517"/>
      <c r="R19" s="517"/>
      <c r="S19" s="517"/>
      <c r="T19" s="517"/>
      <c r="U19" s="517"/>
      <c r="V19" s="517"/>
      <c r="W19" s="517"/>
      <c r="X19" s="517"/>
      <c r="Y19" s="517"/>
      <c r="Z19" s="517"/>
      <c r="AA19" s="517"/>
      <c r="AB19" s="517"/>
      <c r="AC19" s="517"/>
    </row>
  </sheetData>
  <sheetProtection algorithmName="SHA-512" hashValue="QJv2ZKjXafOxPXqkCQfUxH3E4ARb1LGobdbIMpOPKCrz1ZbM+gCPL3NdtJ9mjzNd6GNYZdtB0iEFiJAuNs2qKA==" saltValue="oCRSHfu3c+xHonteSPAz8g==" spinCount="100000" sheet="1" objects="1" scenarios="1" selectLockedCells="1" selectUnlockedCells="1"/>
  <mergeCells count="7">
    <mergeCell ref="A1:N1"/>
    <mergeCell ref="O1:AC19"/>
    <mergeCell ref="K2:N2"/>
    <mergeCell ref="D5:N5"/>
    <mergeCell ref="D8:N8"/>
    <mergeCell ref="D13:N13"/>
    <mergeCell ref="A15:N15"/>
  </mergeCells>
  <hyperlinks>
    <hyperlink ref="O1" r:id="rId1" xr:uid="{0AC09CEA-EDD4-4872-B2C4-04A9E67AACBE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EE21-49E0-7247-A0BB-8E69AD88DAC3}">
  <dimension ref="B2:N9"/>
  <sheetViews>
    <sheetView showGridLines="0" zoomScale="55" zoomScaleNormal="55" workbookViewId="0">
      <selection activeCell="B4" sqref="B4:N32"/>
    </sheetView>
  </sheetViews>
  <sheetFormatPr baseColWidth="10" defaultColWidth="11" defaultRowHeight="15.6" x14ac:dyDescent="0.3"/>
  <cols>
    <col min="1" max="1" width="4.5" customWidth="1"/>
  </cols>
  <sheetData>
    <row r="2" spans="2:14" ht="1.2" customHeight="1" x14ac:dyDescent="0.3"/>
    <row r="4" spans="2:14" ht="28.95" customHeight="1" x14ac:dyDescent="0.3">
      <c r="B4" s="309" t="s">
        <v>0</v>
      </c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10" t="s">
        <v>1</v>
      </c>
      <c r="N4" s="310"/>
    </row>
    <row r="5" spans="2:14" ht="16.2" customHeight="1" x14ac:dyDescent="0.3">
      <c r="B5" s="309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10"/>
      <c r="N5" s="310"/>
    </row>
    <row r="6" spans="2:14" x14ac:dyDescent="0.3">
      <c r="M6" s="16"/>
    </row>
    <row r="7" spans="2:14" ht="21" x14ac:dyDescent="0.4">
      <c r="E7" s="308" t="s">
        <v>2</v>
      </c>
      <c r="F7" s="308"/>
      <c r="G7" s="308"/>
      <c r="H7" s="308"/>
      <c r="I7" s="308"/>
      <c r="J7" s="308"/>
      <c r="K7" s="308"/>
    </row>
    <row r="8" spans="2:14" ht="21" x14ac:dyDescent="0.4">
      <c r="E8" s="1"/>
      <c r="F8" s="1"/>
      <c r="G8" s="1"/>
      <c r="H8" s="235" t="s">
        <v>3</v>
      </c>
      <c r="I8" s="1"/>
      <c r="J8" s="1"/>
      <c r="K8" s="1"/>
    </row>
    <row r="9" spans="2:14" ht="21" x14ac:dyDescent="0.4">
      <c r="E9" s="1"/>
      <c r="F9" s="308" t="s">
        <v>4</v>
      </c>
      <c r="G9" s="308"/>
      <c r="H9" s="308"/>
      <c r="I9" s="308"/>
      <c r="J9" s="308"/>
      <c r="K9" s="1"/>
    </row>
  </sheetData>
  <mergeCells count="4">
    <mergeCell ref="E7:K7"/>
    <mergeCell ref="F9:J9"/>
    <mergeCell ref="B4:L5"/>
    <mergeCell ref="M4:N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76DA-2C50-1149-8224-352B088841D4}">
  <dimension ref="B1:K54"/>
  <sheetViews>
    <sheetView showGridLines="0" zoomScale="87" zoomScaleNormal="115" workbookViewId="0">
      <selection activeCell="B25" sqref="B25"/>
    </sheetView>
  </sheetViews>
  <sheetFormatPr baseColWidth="10" defaultColWidth="11" defaultRowHeight="15.6" x14ac:dyDescent="0.3"/>
  <cols>
    <col min="1" max="1" width="2.69921875" customWidth="1"/>
    <col min="2" max="2" width="22.8984375" customWidth="1"/>
    <col min="3" max="3" width="9" customWidth="1"/>
    <col min="4" max="4" width="29.19921875" customWidth="1"/>
    <col min="5" max="5" width="3.3984375" customWidth="1"/>
    <col min="6" max="6" width="18.19921875" customWidth="1"/>
    <col min="7" max="7" width="16.19921875" customWidth="1"/>
    <col min="8" max="8" width="16.8984375" customWidth="1"/>
    <col min="10" max="10" width="0" hidden="1" customWidth="1"/>
  </cols>
  <sheetData>
    <row r="1" spans="2:10" ht="3" customHeight="1" thickBot="1" x14ac:dyDescent="0.35"/>
    <row r="2" spans="2:10" ht="19.95" customHeight="1" x14ac:dyDescent="0.3">
      <c r="B2" s="319" t="s">
        <v>5</v>
      </c>
      <c r="C2" s="320"/>
      <c r="D2" s="320"/>
      <c r="E2" s="320"/>
      <c r="F2" s="320"/>
      <c r="G2" s="320"/>
      <c r="H2" s="321"/>
    </row>
    <row r="3" spans="2:10" ht="19.95" customHeight="1" thickBot="1" x14ac:dyDescent="0.35">
      <c r="B3" s="322"/>
      <c r="C3" s="323"/>
      <c r="D3" s="323"/>
      <c r="E3" s="323"/>
      <c r="F3" s="323"/>
      <c r="G3" s="323"/>
      <c r="H3" s="324"/>
    </row>
    <row r="4" spans="2:10" ht="3.6" customHeight="1" thickBot="1" x14ac:dyDescent="0.35"/>
    <row r="5" spans="2:10" ht="16.2" thickBot="1" x14ac:dyDescent="0.35">
      <c r="F5" s="330" t="s">
        <v>6</v>
      </c>
      <c r="G5" s="331"/>
      <c r="H5" s="331"/>
    </row>
    <row r="6" spans="2:10" ht="4.95" customHeight="1" thickBot="1" x14ac:dyDescent="0.35"/>
    <row r="7" spans="2:10" ht="16.2" thickBot="1" x14ac:dyDescent="0.35">
      <c r="B7" s="2" t="s">
        <v>7</v>
      </c>
      <c r="C7" s="325" t="s">
        <v>8</v>
      </c>
      <c r="D7" s="325"/>
      <c r="E7" s="326"/>
      <c r="F7" s="286" t="s">
        <v>9</v>
      </c>
      <c r="G7" s="279" t="s">
        <v>10</v>
      </c>
      <c r="H7" s="287" t="s">
        <v>11</v>
      </c>
      <c r="J7" t="s">
        <v>12</v>
      </c>
    </row>
    <row r="8" spans="2:10" x14ac:dyDescent="0.3">
      <c r="B8" s="3" t="s">
        <v>13</v>
      </c>
      <c r="C8" s="332" t="s">
        <v>14</v>
      </c>
      <c r="D8" s="313"/>
      <c r="E8" s="314"/>
      <c r="F8" s="175" t="s">
        <v>15</v>
      </c>
      <c r="G8" s="141">
        <v>49000</v>
      </c>
      <c r="H8" s="145">
        <f>G8*0.77</f>
        <v>37730</v>
      </c>
      <c r="J8" t="s">
        <v>16</v>
      </c>
    </row>
    <row r="9" spans="2:10" x14ac:dyDescent="0.3">
      <c r="B9" s="3" t="s">
        <v>17</v>
      </c>
      <c r="C9" s="313" t="s">
        <v>18</v>
      </c>
      <c r="D9" s="313"/>
      <c r="E9" s="314"/>
      <c r="F9" s="176" t="s">
        <v>19</v>
      </c>
      <c r="G9" s="143"/>
      <c r="H9" s="95">
        <f>IF(ISNUMBER(G9),G9*0.7,0)</f>
        <v>0</v>
      </c>
    </row>
    <row r="10" spans="2:10" ht="16.2" thickBot="1" x14ac:dyDescent="0.35">
      <c r="B10" s="289" t="s">
        <v>20</v>
      </c>
      <c r="C10" s="311" t="s">
        <v>21</v>
      </c>
      <c r="D10" s="311"/>
      <c r="E10" s="312"/>
      <c r="F10" s="17" t="s">
        <v>22</v>
      </c>
      <c r="G10" s="18"/>
      <c r="H10" s="177"/>
    </row>
    <row r="11" spans="2:10" ht="7.2" customHeight="1" thickBot="1" x14ac:dyDescent="0.35"/>
    <row r="12" spans="2:10" ht="16.2" thickBot="1" x14ac:dyDescent="0.35">
      <c r="B12" s="2" t="s">
        <v>23</v>
      </c>
      <c r="C12" s="325" t="s">
        <v>24</v>
      </c>
      <c r="D12" s="325"/>
      <c r="E12" s="326"/>
      <c r="F12" s="280" t="s">
        <v>9</v>
      </c>
      <c r="G12" s="272" t="s">
        <v>10</v>
      </c>
      <c r="H12" s="273" t="s">
        <v>11</v>
      </c>
    </row>
    <row r="13" spans="2:10" x14ac:dyDescent="0.3">
      <c r="B13" s="3" t="s">
        <v>13</v>
      </c>
      <c r="C13" s="332" t="s">
        <v>25</v>
      </c>
      <c r="D13" s="313"/>
      <c r="E13" s="314"/>
      <c r="F13" s="266" t="s">
        <v>15</v>
      </c>
      <c r="G13" s="267">
        <v>63000</v>
      </c>
      <c r="H13" s="268">
        <f>+G13*0.77</f>
        <v>48510</v>
      </c>
    </row>
    <row r="14" spans="2:10" x14ac:dyDescent="0.3">
      <c r="B14" s="3" t="s">
        <v>17</v>
      </c>
      <c r="C14" s="313" t="s">
        <v>230</v>
      </c>
      <c r="D14" s="313"/>
      <c r="E14" s="314"/>
      <c r="F14" s="176" t="s">
        <v>19</v>
      </c>
      <c r="G14" s="143"/>
      <c r="H14" s="95">
        <f>IF(ISNUMBER(G14),G14*0.7,0)</f>
        <v>0</v>
      </c>
    </row>
    <row r="15" spans="2:10" ht="16.2" thickBot="1" x14ac:dyDescent="0.35">
      <c r="B15" s="289" t="s">
        <v>20</v>
      </c>
      <c r="C15" s="311" t="s">
        <v>26</v>
      </c>
      <c r="D15" s="311"/>
      <c r="E15" s="312"/>
      <c r="F15" s="17" t="s">
        <v>22</v>
      </c>
      <c r="G15" s="18"/>
      <c r="H15" s="177">
        <v>0</v>
      </c>
    </row>
    <row r="16" spans="2:10" ht="4.95" customHeight="1" thickBot="1" x14ac:dyDescent="0.35"/>
    <row r="17" spans="2:11" ht="16.2" thickBot="1" x14ac:dyDescent="0.35">
      <c r="B17" s="2" t="s">
        <v>27</v>
      </c>
      <c r="C17" s="325" t="s">
        <v>28</v>
      </c>
      <c r="D17" s="325"/>
      <c r="E17" s="326"/>
      <c r="F17" s="286" t="s">
        <v>29</v>
      </c>
      <c r="G17" s="279" t="s">
        <v>30</v>
      </c>
      <c r="H17" s="287" t="s">
        <v>31</v>
      </c>
    </row>
    <row r="18" spans="2:11" x14ac:dyDescent="0.3">
      <c r="B18" s="3" t="s">
        <v>32</v>
      </c>
      <c r="C18" s="313" t="s">
        <v>33</v>
      </c>
      <c r="D18" s="313"/>
      <c r="E18" s="314"/>
      <c r="F18" s="178" t="s">
        <v>12</v>
      </c>
      <c r="G18" s="142">
        <v>0</v>
      </c>
      <c r="H18" s="179">
        <v>0</v>
      </c>
    </row>
    <row r="19" spans="2:11" ht="16.2" customHeight="1" thickBot="1" x14ac:dyDescent="0.35">
      <c r="B19" s="3" t="s">
        <v>34</v>
      </c>
      <c r="C19" s="313"/>
      <c r="D19" s="313"/>
      <c r="E19" s="314"/>
      <c r="F19" s="17" t="s">
        <v>35</v>
      </c>
      <c r="G19" s="19"/>
      <c r="H19" s="180">
        <f>G19*0.8</f>
        <v>0</v>
      </c>
    </row>
    <row r="20" spans="2:11" ht="17.399999999999999" customHeight="1" thickBot="1" x14ac:dyDescent="0.35">
      <c r="B20" s="174" t="s">
        <v>36</v>
      </c>
      <c r="C20" s="333"/>
      <c r="D20" s="333"/>
      <c r="E20" s="334"/>
      <c r="F20" s="315" t="s">
        <v>37</v>
      </c>
      <c r="G20" s="316"/>
      <c r="H20" s="158">
        <f>SUM(H8:H10)+SUM(H13:H15)+SUM(H18:H19)</f>
        <v>86240</v>
      </c>
    </row>
    <row r="21" spans="2:11" ht="12" customHeight="1" thickBot="1" x14ac:dyDescent="0.35">
      <c r="B21" s="151"/>
      <c r="C21" s="152"/>
      <c r="D21" s="152"/>
      <c r="E21" s="155"/>
      <c r="F21" s="153"/>
      <c r="G21" s="153"/>
      <c r="H21" s="154"/>
    </row>
    <row r="22" spans="2:11" ht="16.2" thickBot="1" x14ac:dyDescent="0.35">
      <c r="B22" s="327" t="s">
        <v>38</v>
      </c>
      <c r="C22" s="328"/>
      <c r="D22" s="329"/>
      <c r="F22" s="327" t="s">
        <v>39</v>
      </c>
      <c r="G22" s="328"/>
      <c r="H22" s="328"/>
    </row>
    <row r="23" spans="2:11" ht="4.95" customHeight="1" thickBot="1" x14ac:dyDescent="0.35"/>
    <row r="24" spans="2:11" ht="16.2" thickBot="1" x14ac:dyDescent="0.35">
      <c r="B24" s="286" t="s">
        <v>40</v>
      </c>
      <c r="C24" s="279" t="s">
        <v>41</v>
      </c>
      <c r="D24" s="287" t="s">
        <v>42</v>
      </c>
      <c r="F24" s="103" t="s">
        <v>43</v>
      </c>
      <c r="G24" s="145">
        <f>'Impôt 2021 revenus 2020'!C8</f>
        <v>77616</v>
      </c>
      <c r="H24" s="288" t="s">
        <v>44</v>
      </c>
    </row>
    <row r="25" spans="2:11" ht="16.2" thickBot="1" x14ac:dyDescent="0.35">
      <c r="B25" s="96"/>
      <c r="C25" s="239"/>
      <c r="D25" s="97"/>
      <c r="F25" s="104" t="s">
        <v>45</v>
      </c>
      <c r="G25" s="95">
        <f>'Impôt 2021 revenus 2020'!D14</f>
        <v>11320.08</v>
      </c>
      <c r="H25" s="171">
        <v>0.3</v>
      </c>
    </row>
    <row r="26" spans="2:11" x14ac:dyDescent="0.3">
      <c r="B26" s="98"/>
      <c r="C26" s="242"/>
      <c r="D26" s="99"/>
      <c r="F26" s="104" t="s">
        <v>46</v>
      </c>
      <c r="G26" s="95">
        <f>H18*0.172</f>
        <v>0</v>
      </c>
      <c r="H26" s="148"/>
    </row>
    <row r="27" spans="2:11" x14ac:dyDescent="0.3">
      <c r="B27" s="98"/>
      <c r="C27" s="242"/>
      <c r="D27" s="100"/>
      <c r="F27" s="104" t="s">
        <v>47</v>
      </c>
      <c r="G27" s="146">
        <v>0</v>
      </c>
      <c r="H27" s="148"/>
    </row>
    <row r="28" spans="2:11" ht="16.2" thickBot="1" x14ac:dyDescent="0.35">
      <c r="B28" s="101"/>
      <c r="C28" s="237"/>
      <c r="D28" s="102"/>
      <c r="F28" s="104" t="s">
        <v>48</v>
      </c>
      <c r="G28" s="302">
        <v>0</v>
      </c>
      <c r="H28" s="148"/>
    </row>
    <row r="29" spans="2:11" ht="16.2" thickBot="1" x14ac:dyDescent="0.35">
      <c r="B29" s="169" t="s">
        <v>49</v>
      </c>
      <c r="C29" s="170"/>
      <c r="D29" s="149"/>
      <c r="F29" s="159" t="s">
        <v>50</v>
      </c>
      <c r="G29" s="160">
        <v>0</v>
      </c>
    </row>
    <row r="30" spans="2:11" ht="9.6" customHeight="1" thickBot="1" x14ac:dyDescent="0.35">
      <c r="B30" s="149"/>
      <c r="C30" s="150"/>
      <c r="D30" s="149"/>
      <c r="F30" s="161"/>
      <c r="G30" s="162"/>
    </row>
    <row r="31" spans="2:11" ht="12.6" customHeight="1" thickBot="1" x14ac:dyDescent="0.35">
      <c r="B31" s="317" t="s">
        <v>51</v>
      </c>
      <c r="C31" s="318"/>
      <c r="D31" s="318"/>
      <c r="E31" s="318"/>
      <c r="F31" s="318"/>
      <c r="G31" s="318"/>
      <c r="H31" s="318"/>
      <c r="I31" s="15"/>
      <c r="J31" s="15"/>
      <c r="K31" s="15"/>
    </row>
    <row r="35" spans="2:7" hidden="1" x14ac:dyDescent="0.3">
      <c r="B35">
        <v>0</v>
      </c>
      <c r="C35" t="s">
        <v>52</v>
      </c>
    </row>
    <row r="36" spans="2:7" ht="15.6" hidden="1" customHeight="1" x14ac:dyDescent="0.3">
      <c r="B36">
        <v>1</v>
      </c>
      <c r="C36" t="s">
        <v>53</v>
      </c>
      <c r="D36" t="s">
        <v>54</v>
      </c>
      <c r="G36" t="s">
        <v>55</v>
      </c>
    </row>
    <row r="37" spans="2:7" ht="15.6" hidden="1" customHeight="1" x14ac:dyDescent="0.3">
      <c r="B37">
        <v>2</v>
      </c>
      <c r="D37" t="s">
        <v>56</v>
      </c>
      <c r="G37" t="s">
        <v>57</v>
      </c>
    </row>
    <row r="38" spans="2:7" ht="15.6" hidden="1" customHeight="1" x14ac:dyDescent="0.3">
      <c r="B38">
        <v>3</v>
      </c>
      <c r="D38" t="s">
        <v>58</v>
      </c>
    </row>
    <row r="39" spans="2:7" ht="15.6" hidden="1" customHeight="1" x14ac:dyDescent="0.3">
      <c r="B39">
        <v>4</v>
      </c>
      <c r="D39" t="s">
        <v>59</v>
      </c>
    </row>
    <row r="40" spans="2:7" ht="15.6" hidden="1" customHeight="1" x14ac:dyDescent="0.3">
      <c r="B40">
        <v>5</v>
      </c>
      <c r="D40" t="s">
        <v>60</v>
      </c>
    </row>
    <row r="41" spans="2:7" ht="15.6" hidden="1" customHeight="1" x14ac:dyDescent="0.3">
      <c r="B41">
        <v>6</v>
      </c>
      <c r="D41" t="s">
        <v>33</v>
      </c>
    </row>
    <row r="42" spans="2:7" ht="15.6" hidden="1" customHeight="1" x14ac:dyDescent="0.3">
      <c r="B42">
        <v>7</v>
      </c>
      <c r="D42" t="s">
        <v>61</v>
      </c>
    </row>
    <row r="43" spans="2:7" ht="15.6" hidden="1" customHeight="1" x14ac:dyDescent="0.3">
      <c r="B43">
        <v>8</v>
      </c>
    </row>
    <row r="44" spans="2:7" ht="15.6" hidden="1" customHeight="1" x14ac:dyDescent="0.3">
      <c r="B44">
        <v>9</v>
      </c>
    </row>
    <row r="45" spans="2:7" ht="15.6" hidden="1" customHeight="1" x14ac:dyDescent="0.3">
      <c r="B45">
        <v>10</v>
      </c>
    </row>
    <row r="46" spans="2:7" ht="15.6" customHeight="1" x14ac:dyDescent="0.3"/>
    <row r="47" spans="2:7" ht="15.6" customHeight="1" x14ac:dyDescent="0.3"/>
    <row r="48" spans="2:7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</sheetData>
  <mergeCells count="18">
    <mergeCell ref="B2:H3"/>
    <mergeCell ref="C14:E14"/>
    <mergeCell ref="C17:E17"/>
    <mergeCell ref="C18:E18"/>
    <mergeCell ref="F22:H22"/>
    <mergeCell ref="B22:D22"/>
    <mergeCell ref="F5:H5"/>
    <mergeCell ref="C7:E7"/>
    <mergeCell ref="C8:E8"/>
    <mergeCell ref="C9:E9"/>
    <mergeCell ref="C12:E12"/>
    <mergeCell ref="C13:E13"/>
    <mergeCell ref="C20:E20"/>
    <mergeCell ref="C10:E10"/>
    <mergeCell ref="C19:E19"/>
    <mergeCell ref="C15:E15"/>
    <mergeCell ref="F20:G20"/>
    <mergeCell ref="B31:H31"/>
  </mergeCells>
  <dataValidations count="5">
    <dataValidation type="list" allowBlank="1" showInputMessage="1" showErrorMessage="1" sqref="C18:E18" xr:uid="{F47CBD30-AC04-4E07-BC58-9C727FCBA355}">
      <formula1>$D$36:$D$43</formula1>
    </dataValidation>
    <dataValidation type="list" allowBlank="1" showInputMessage="1" showErrorMessage="1" promptTitle="Communauté" sqref="C17:E17" xr:uid="{4D4787BC-6A97-47E6-B9D6-7346B30B07E8}">
      <formula1>"Célibataire,Concubinage,Divorcé,Veuf,Marié-Pacsé"</formula1>
    </dataValidation>
    <dataValidation type="list" allowBlank="1" showInputMessage="1" showErrorMessage="1" sqref="F18" xr:uid="{B5A9C45F-3029-4ACA-B2A9-2A7A8780628B}">
      <formula1>$J$7:$J$8</formula1>
    </dataValidation>
    <dataValidation type="list" allowBlank="1" showInputMessage="1" showErrorMessage="1" sqref="D20:E20 C20:C21" xr:uid="{F91AA10A-2D56-43B5-87E1-EE890EFFD3DC}">
      <formula1>$C$35:$C$37</formula1>
    </dataValidation>
    <dataValidation type="list" allowBlank="1" showInputMessage="1" showErrorMessage="1" sqref="C29" xr:uid="{B62B7896-C42E-47FE-A026-CE9114D87D9C}">
      <formula1>$B$33:$B$43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B25803-A536-433E-85B1-E64D7935589E}">
          <x14:formula1>
            <xm:f>'Calcul IR 2'!$O$3:$O$6</xm:f>
          </x14:formula1>
          <xm:sqref>C19:E19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4D51D-E018-DD48-A148-1E57C8787E7C}">
  <dimension ref="B1:J67"/>
  <sheetViews>
    <sheetView showGridLines="0" tabSelected="1" zoomScale="90" zoomScaleNormal="90" workbookViewId="0">
      <selection activeCell="M14" sqref="M14"/>
    </sheetView>
  </sheetViews>
  <sheetFormatPr baseColWidth="10" defaultColWidth="11" defaultRowHeight="15.6" x14ac:dyDescent="0.3"/>
  <cols>
    <col min="1" max="1" width="6.19921875" customWidth="1"/>
    <col min="2" max="2" width="18.69921875" style="4" customWidth="1"/>
    <col min="3" max="3" width="15.59765625" customWidth="1"/>
    <col min="4" max="4" width="14" bestFit="1" customWidth="1"/>
    <col min="5" max="5" width="14.69921875" bestFit="1" customWidth="1"/>
    <col min="6" max="6" width="12.69921875" customWidth="1"/>
    <col min="7" max="7" width="12.09765625" customWidth="1"/>
    <col min="8" max="8" width="13.5" customWidth="1"/>
    <col min="9" max="9" width="14" customWidth="1"/>
  </cols>
  <sheetData>
    <row r="1" spans="2:10" ht="3" customHeight="1" thickBot="1" x14ac:dyDescent="0.35"/>
    <row r="2" spans="2:10" ht="19.95" customHeight="1" x14ac:dyDescent="0.3">
      <c r="B2" s="340" t="s">
        <v>62</v>
      </c>
      <c r="C2" s="341"/>
      <c r="D2" s="341"/>
      <c r="E2" s="341"/>
      <c r="F2" s="341"/>
      <c r="G2" s="341"/>
      <c r="H2" s="341"/>
      <c r="I2" s="342"/>
    </row>
    <row r="3" spans="2:10" ht="19.95" customHeight="1" thickBot="1" x14ac:dyDescent="0.35">
      <c r="B3" s="343"/>
      <c r="C3" s="344"/>
      <c r="D3" s="344"/>
      <c r="E3" s="344"/>
      <c r="F3" s="344"/>
      <c r="G3" s="344"/>
      <c r="H3" s="344"/>
      <c r="I3" s="345"/>
    </row>
    <row r="4" spans="2:10" ht="4.2" customHeight="1" x14ac:dyDescent="0.3"/>
    <row r="5" spans="2:10" x14ac:dyDescent="0.3">
      <c r="B5" s="362" t="s">
        <v>63</v>
      </c>
      <c r="C5" s="362"/>
      <c r="D5" s="362"/>
      <c r="E5" s="362"/>
      <c r="F5" s="362"/>
      <c r="G5" s="362"/>
      <c r="H5" s="362"/>
      <c r="I5" s="362"/>
    </row>
    <row r="6" spans="2:10" ht="3" customHeight="1" thickBot="1" x14ac:dyDescent="0.35"/>
    <row r="7" spans="2:10" ht="16.95" customHeight="1" thickBot="1" x14ac:dyDescent="0.35">
      <c r="B7" s="335" t="s">
        <v>64</v>
      </c>
      <c r="C7" s="336"/>
      <c r="D7" s="278" t="s">
        <v>65</v>
      </c>
      <c r="E7" s="279" t="s">
        <v>66</v>
      </c>
      <c r="F7" s="279" t="s">
        <v>67</v>
      </c>
      <c r="G7" s="279" t="s">
        <v>68</v>
      </c>
      <c r="H7" s="358" t="s">
        <v>69</v>
      </c>
      <c r="I7" s="359"/>
    </row>
    <row r="8" spans="2:10" ht="16.95" customHeight="1" thickBot="1" x14ac:dyDescent="0.35">
      <c r="B8" s="353"/>
      <c r="C8" s="354"/>
      <c r="D8" s="243" t="s">
        <v>70</v>
      </c>
      <c r="E8" s="191">
        <v>470000</v>
      </c>
      <c r="F8" s="191">
        <v>420000</v>
      </c>
      <c r="G8" s="190">
        <v>2045</v>
      </c>
      <c r="H8" s="360">
        <v>1900</v>
      </c>
      <c r="I8" s="361"/>
      <c r="J8">
        <v>700</v>
      </c>
    </row>
    <row r="9" spans="2:10" ht="3" customHeight="1" thickBot="1" x14ac:dyDescent="0.35">
      <c r="B9" s="207"/>
      <c r="C9" s="230"/>
      <c r="D9" s="231"/>
      <c r="E9" s="232"/>
      <c r="F9" s="232"/>
      <c r="G9" s="233"/>
      <c r="H9" s="234"/>
      <c r="I9" s="234"/>
    </row>
    <row r="10" spans="2:10" ht="16.95" customHeight="1" thickBot="1" x14ac:dyDescent="0.35">
      <c r="B10" s="355" t="s">
        <v>71</v>
      </c>
      <c r="C10" s="356"/>
      <c r="D10" s="356"/>
      <c r="E10" s="356"/>
      <c r="F10" s="356"/>
      <c r="G10" s="356"/>
      <c r="H10" s="356"/>
      <c r="I10" s="357"/>
    </row>
    <row r="11" spans="2:10" ht="16.2" thickBot="1" x14ac:dyDescent="0.35">
      <c r="B11" s="271" t="s">
        <v>72</v>
      </c>
      <c r="C11" s="272" t="s">
        <v>73</v>
      </c>
      <c r="D11" s="272" t="s">
        <v>74</v>
      </c>
      <c r="E11" s="272" t="s">
        <v>67</v>
      </c>
      <c r="F11" s="272" t="s">
        <v>68</v>
      </c>
      <c r="G11" s="272" t="s">
        <v>75</v>
      </c>
      <c r="H11" s="272" t="s">
        <v>76</v>
      </c>
      <c r="I11" s="273" t="s">
        <v>77</v>
      </c>
    </row>
    <row r="12" spans="2:10" ht="3" customHeight="1" thickBot="1" x14ac:dyDescent="0.35"/>
    <row r="13" spans="2:10" x14ac:dyDescent="0.3">
      <c r="B13" s="238" t="s">
        <v>231</v>
      </c>
      <c r="C13" s="163"/>
      <c r="D13" s="163"/>
      <c r="E13" s="163"/>
      <c r="F13" s="107"/>
      <c r="G13" s="166">
        <v>670</v>
      </c>
      <c r="H13" s="166"/>
      <c r="I13" s="196"/>
    </row>
    <row r="14" spans="2:10" x14ac:dyDescent="0.3">
      <c r="B14" s="241"/>
      <c r="C14" s="164"/>
      <c r="D14" s="164"/>
      <c r="E14" s="164"/>
      <c r="F14" s="108"/>
      <c r="G14" s="167"/>
      <c r="H14" s="182"/>
      <c r="I14" s="197"/>
    </row>
    <row r="15" spans="2:10" ht="16.2" thickBot="1" x14ac:dyDescent="0.35">
      <c r="B15" s="236"/>
      <c r="C15" s="165"/>
      <c r="D15" s="165"/>
      <c r="E15" s="165"/>
      <c r="F15" s="109"/>
      <c r="G15" s="168"/>
      <c r="H15" s="168"/>
      <c r="I15" s="198" t="str">
        <f>IF(ISBLANK(B15),"",IF(ISBLANK(H15),"NC",(H15*12)/D15))</f>
        <v/>
      </c>
    </row>
    <row r="16" spans="2:10" ht="2.4" customHeight="1" x14ac:dyDescent="0.3"/>
    <row r="17" spans="2:9" ht="16.2" customHeight="1" x14ac:dyDescent="0.3">
      <c r="B17" s="362" t="s">
        <v>78</v>
      </c>
      <c r="C17" s="362"/>
      <c r="D17" s="362"/>
      <c r="E17" s="362"/>
      <c r="F17" s="362"/>
      <c r="G17" s="362"/>
      <c r="H17" s="362"/>
      <c r="I17" s="362"/>
    </row>
    <row r="18" spans="2:9" ht="2.4" customHeight="1" thickBot="1" x14ac:dyDescent="0.35"/>
    <row r="19" spans="2:9" ht="16.2" customHeight="1" thickBot="1" x14ac:dyDescent="0.35">
      <c r="B19" s="363" t="s">
        <v>79</v>
      </c>
      <c r="C19" s="364"/>
      <c r="D19" s="272" t="s">
        <v>67</v>
      </c>
      <c r="E19" s="272" t="s">
        <v>68</v>
      </c>
      <c r="F19" s="272" t="s">
        <v>80</v>
      </c>
      <c r="G19" s="272" t="s">
        <v>75</v>
      </c>
      <c r="H19" s="373" t="s">
        <v>42</v>
      </c>
      <c r="I19" s="374"/>
    </row>
    <row r="20" spans="2:9" ht="3" customHeight="1" thickBot="1" x14ac:dyDescent="0.35">
      <c r="B20" s="185"/>
      <c r="C20" s="186"/>
      <c r="D20" s="186"/>
      <c r="E20" s="186"/>
      <c r="F20" s="186"/>
      <c r="G20" s="186"/>
      <c r="H20" s="186"/>
      <c r="I20" s="186"/>
    </row>
    <row r="21" spans="2:9" ht="16.2" customHeight="1" x14ac:dyDescent="0.3">
      <c r="B21" s="371"/>
      <c r="C21" s="372"/>
      <c r="D21" s="163"/>
      <c r="E21" s="301"/>
      <c r="F21" s="107"/>
      <c r="G21" s="166"/>
      <c r="H21" s="381"/>
      <c r="I21" s="382"/>
    </row>
    <row r="22" spans="2:9" ht="16.2" customHeight="1" x14ac:dyDescent="0.3">
      <c r="B22" s="375"/>
      <c r="C22" s="376"/>
      <c r="D22" s="192"/>
      <c r="E22" s="187"/>
      <c r="F22" s="188"/>
      <c r="G22" s="189"/>
      <c r="H22" s="379"/>
      <c r="I22" s="380"/>
    </row>
    <row r="23" spans="2:9" ht="16.2" customHeight="1" thickBot="1" x14ac:dyDescent="0.35">
      <c r="B23" s="369"/>
      <c r="C23" s="370"/>
      <c r="D23" s="165"/>
      <c r="E23" s="144"/>
      <c r="F23" s="109"/>
      <c r="G23" s="168"/>
      <c r="H23" s="377"/>
      <c r="I23" s="378"/>
    </row>
    <row r="24" spans="2:9" ht="4.95" customHeight="1" x14ac:dyDescent="0.3">
      <c r="B24"/>
    </row>
    <row r="25" spans="2:9" x14ac:dyDescent="0.3">
      <c r="B25" s="362" t="s">
        <v>81</v>
      </c>
      <c r="C25" s="362"/>
      <c r="D25" s="362"/>
      <c r="E25" s="362"/>
      <c r="F25" s="362"/>
      <c r="G25" s="362"/>
      <c r="H25" s="362"/>
      <c r="I25" s="362"/>
    </row>
    <row r="26" spans="2:9" ht="6" customHeight="1" thickBot="1" x14ac:dyDescent="0.35"/>
    <row r="27" spans="2:9" ht="16.2" thickBot="1" x14ac:dyDescent="0.35">
      <c r="B27" s="363" t="s">
        <v>82</v>
      </c>
      <c r="C27" s="364"/>
      <c r="D27" s="272" t="s">
        <v>83</v>
      </c>
      <c r="E27" s="272" t="s">
        <v>84</v>
      </c>
      <c r="F27" s="272" t="s">
        <v>68</v>
      </c>
      <c r="G27" s="272" t="s">
        <v>75</v>
      </c>
      <c r="H27" s="272" t="s">
        <v>76</v>
      </c>
      <c r="I27" s="273" t="s">
        <v>77</v>
      </c>
    </row>
    <row r="28" spans="2:9" ht="4.95" customHeight="1" thickBot="1" x14ac:dyDescent="0.35"/>
    <row r="29" spans="2:9" ht="16.95" customHeight="1" x14ac:dyDescent="0.3">
      <c r="B29" s="367"/>
      <c r="C29" s="368"/>
      <c r="D29" s="195"/>
      <c r="E29" s="195"/>
      <c r="F29" s="110"/>
      <c r="G29" s="183"/>
      <c r="H29" s="193"/>
      <c r="I29" s="199"/>
    </row>
    <row r="30" spans="2:9" ht="16.95" customHeight="1" thickBot="1" x14ac:dyDescent="0.35">
      <c r="B30" s="365"/>
      <c r="C30" s="366"/>
      <c r="D30" s="168"/>
      <c r="E30" s="168"/>
      <c r="F30" s="109"/>
      <c r="G30" s="165"/>
      <c r="H30" s="194"/>
      <c r="I30" s="200" t="str">
        <f t="shared" ref="I30" si="0">IF(ISBLANK(B30),"",IF(ISBLANK(H30),"NC",(H30*12)/D30))</f>
        <v/>
      </c>
    </row>
    <row r="31" spans="2:9" ht="4.2" customHeight="1" x14ac:dyDescent="0.3"/>
    <row r="32" spans="2:9" ht="20.399999999999999" customHeight="1" x14ac:dyDescent="0.3">
      <c r="B32" s="362" t="s">
        <v>85</v>
      </c>
      <c r="C32" s="362"/>
      <c r="D32" s="184">
        <f>MAX(0,IF('Etat Civil'!H20=0,0,(SUM(H8,G13:G15,G21:G23))/(SUM(H13:H15)+(('Etat Civil'!H20-'Etat Civil'!H18-'Etat Civil'!H19)/12))))</f>
        <v>0.35760667903525045</v>
      </c>
      <c r="F32" s="362" t="str">
        <f>IF(AND(ISBLANK(B29),ISBLANK(B30)),"","TAUX D'ENDETTEMENT SI PROJET")</f>
        <v/>
      </c>
      <c r="G32" s="362"/>
      <c r="H32" s="362"/>
      <c r="I32" s="184" t="str">
        <f>IF(AND(ISBLANK(B29),ISBLANK(B30)),"",MAX(0,IF('Etat Civil'!H20=0,0,IF(OR(B29="Changement RP",B30="Changement RP"),(SUM(G13:G15,G21:G23,G29:G30))/((SUM(H13:H15,H29:H30))+(('Etat Civil'!H20-'Etat Civil'!H18-'Etat Civil'!H19)/12)),(SUM(G13:G15,G21:G23,G29:G30,H8))/((SUM(H13:H15,H29:H30))+(('Etat Civil'!H20-'Etat Civil'!H18-'Etat Civil'!H19)/12))))))</f>
        <v/>
      </c>
    </row>
    <row r="33" spans="2:10" ht="6" customHeight="1" thickBot="1" x14ac:dyDescent="0.35"/>
    <row r="34" spans="2:10" ht="19.95" customHeight="1" x14ac:dyDescent="0.3">
      <c r="B34" s="340" t="s">
        <v>86</v>
      </c>
      <c r="C34" s="341"/>
      <c r="D34" s="341"/>
      <c r="E34" s="341"/>
      <c r="F34" s="341"/>
      <c r="G34" s="341"/>
      <c r="H34" s="341"/>
      <c r="I34" s="342"/>
    </row>
    <row r="35" spans="2:10" ht="19.95" customHeight="1" thickBot="1" x14ac:dyDescent="0.35">
      <c r="B35" s="343"/>
      <c r="C35" s="344"/>
      <c r="D35" s="344"/>
      <c r="E35" s="344"/>
      <c r="F35" s="344"/>
      <c r="G35" s="344"/>
      <c r="H35" s="344"/>
      <c r="I35" s="345"/>
      <c r="J35" s="240"/>
    </row>
    <row r="36" spans="2:10" ht="3" customHeight="1" thickBot="1" x14ac:dyDescent="0.35">
      <c r="B36"/>
      <c r="C36" s="7"/>
      <c r="F36" s="7"/>
      <c r="G36" s="7"/>
      <c r="H36" s="9"/>
    </row>
    <row r="37" spans="2:10" ht="16.2" thickBot="1" x14ac:dyDescent="0.35">
      <c r="B37" s="280" t="s">
        <v>87</v>
      </c>
      <c r="C37" s="281" t="s">
        <v>66</v>
      </c>
      <c r="D37" s="272" t="s">
        <v>88</v>
      </c>
      <c r="E37" s="272" t="s">
        <v>89</v>
      </c>
      <c r="F37" s="282" t="s">
        <v>90</v>
      </c>
      <c r="G37" s="283" t="s">
        <v>91</v>
      </c>
      <c r="H37" s="284" t="s">
        <v>92</v>
      </c>
      <c r="I37" s="285" t="s">
        <v>93</v>
      </c>
    </row>
    <row r="38" spans="2:10" ht="16.2" thickBot="1" x14ac:dyDescent="0.35">
      <c r="B38" s="346" t="s">
        <v>94</v>
      </c>
      <c r="C38" s="347"/>
      <c r="D38" s="347"/>
      <c r="E38" s="347"/>
      <c r="F38" s="347"/>
      <c r="G38" s="347"/>
      <c r="H38" s="347"/>
      <c r="I38" s="348"/>
    </row>
    <row r="39" spans="2:10" x14ac:dyDescent="0.3">
      <c r="B39" s="238" t="s">
        <v>95</v>
      </c>
      <c r="C39" s="249">
        <f>12000+1600+14000</f>
        <v>27600</v>
      </c>
      <c r="D39" s="297">
        <v>5.0000000000000001E-3</v>
      </c>
      <c r="E39" s="239">
        <v>1</v>
      </c>
      <c r="F39" s="249"/>
      <c r="G39" s="131"/>
      <c r="H39" s="131"/>
      <c r="I39" s="112"/>
    </row>
    <row r="40" spans="2:10" x14ac:dyDescent="0.3">
      <c r="B40" s="241" t="s">
        <v>96</v>
      </c>
      <c r="C40" s="251">
        <v>16000</v>
      </c>
      <c r="D40" s="298">
        <v>0.05</v>
      </c>
      <c r="E40" s="242">
        <v>6</v>
      </c>
      <c r="F40" s="251">
        <v>16000</v>
      </c>
      <c r="G40" s="132" t="s">
        <v>97</v>
      </c>
      <c r="H40" s="132" t="s">
        <v>98</v>
      </c>
      <c r="I40" s="114"/>
    </row>
    <row r="41" spans="2:10" x14ac:dyDescent="0.3">
      <c r="B41" s="241" t="s">
        <v>99</v>
      </c>
      <c r="C41" s="251">
        <v>1000</v>
      </c>
      <c r="D41" s="298"/>
      <c r="E41" s="242">
        <v>4</v>
      </c>
      <c r="F41" s="251"/>
      <c r="G41" s="132"/>
      <c r="H41" s="132"/>
      <c r="I41" s="114"/>
    </row>
    <row r="42" spans="2:10" ht="16.2" thickBot="1" x14ac:dyDescent="0.35">
      <c r="B42" s="236" t="s">
        <v>100</v>
      </c>
      <c r="C42" s="253">
        <v>37600</v>
      </c>
      <c r="D42" s="129"/>
      <c r="E42" s="237">
        <v>6</v>
      </c>
      <c r="F42" s="253"/>
      <c r="G42" s="133"/>
      <c r="H42" s="133"/>
      <c r="I42" s="116"/>
    </row>
    <row r="43" spans="2:10" ht="16.2" thickBot="1" x14ac:dyDescent="0.35">
      <c r="B43" s="346" t="s">
        <v>101</v>
      </c>
      <c r="C43" s="347"/>
      <c r="D43" s="347"/>
      <c r="E43" s="347"/>
      <c r="F43" s="347"/>
      <c r="G43" s="347"/>
      <c r="H43" s="347"/>
      <c r="I43" s="348"/>
    </row>
    <row r="44" spans="2:10" x14ac:dyDescent="0.3">
      <c r="B44" s="238"/>
      <c r="C44" s="249"/>
      <c r="D44" s="297"/>
      <c r="E44" s="239"/>
      <c r="F44" s="249"/>
      <c r="G44" s="296"/>
      <c r="H44" s="131"/>
      <c r="I44" s="112"/>
    </row>
    <row r="45" spans="2:10" x14ac:dyDescent="0.3">
      <c r="B45" s="290"/>
      <c r="C45" s="291"/>
      <c r="D45" s="292"/>
      <c r="E45" s="293"/>
      <c r="F45" s="291"/>
      <c r="G45" s="294"/>
      <c r="H45" s="294"/>
      <c r="I45" s="295"/>
    </row>
    <row r="46" spans="2:10" ht="16.2" thickBot="1" x14ac:dyDescent="0.35">
      <c r="B46" s="236"/>
      <c r="C46" s="253"/>
      <c r="D46" s="129"/>
      <c r="E46" s="237"/>
      <c r="F46" s="253"/>
      <c r="G46" s="133"/>
      <c r="H46" s="133"/>
      <c r="I46" s="116"/>
    </row>
    <row r="47" spans="2:10" ht="16.2" thickBot="1" x14ac:dyDescent="0.35">
      <c r="B47" s="346" t="s">
        <v>102</v>
      </c>
      <c r="C47" s="347"/>
      <c r="D47" s="347"/>
      <c r="E47" s="347"/>
      <c r="F47" s="347"/>
      <c r="G47" s="347"/>
      <c r="H47" s="347"/>
      <c r="I47" s="348"/>
    </row>
    <row r="48" spans="2:10" x14ac:dyDescent="0.3">
      <c r="B48" s="238"/>
      <c r="C48" s="249"/>
      <c r="D48" s="110"/>
      <c r="E48" s="239"/>
      <c r="F48" s="249"/>
      <c r="G48" s="131"/>
      <c r="H48" s="131"/>
      <c r="I48" s="112"/>
    </row>
    <row r="49" spans="2:10" hidden="1" x14ac:dyDescent="0.3">
      <c r="B49" s="241"/>
      <c r="C49" s="251"/>
      <c r="D49" s="108"/>
      <c r="E49" s="242"/>
      <c r="F49" s="251"/>
      <c r="G49" s="132"/>
      <c r="H49" s="132"/>
      <c r="I49" s="114"/>
    </row>
    <row r="50" spans="2:10" x14ac:dyDescent="0.3">
      <c r="B50" s="303"/>
      <c r="C50" s="304"/>
      <c r="D50" s="126"/>
      <c r="E50" s="305"/>
      <c r="F50" s="304"/>
      <c r="G50" s="306"/>
      <c r="H50" s="306"/>
      <c r="I50" s="128"/>
    </row>
    <row r="51" spans="2:10" x14ac:dyDescent="0.3">
      <c r="B51" s="303"/>
      <c r="C51" s="304"/>
      <c r="D51" s="126"/>
      <c r="E51" s="305"/>
      <c r="F51" s="304"/>
      <c r="G51" s="306"/>
      <c r="H51" s="306"/>
      <c r="I51" s="128"/>
    </row>
    <row r="52" spans="2:10" ht="16.2" thickBot="1" x14ac:dyDescent="0.35">
      <c r="B52" s="236"/>
      <c r="C52" s="253"/>
      <c r="D52" s="109"/>
      <c r="E52" s="237"/>
      <c r="F52" s="253"/>
      <c r="G52" s="133"/>
      <c r="H52" s="133"/>
      <c r="I52" s="116"/>
    </row>
    <row r="53" spans="2:10" x14ac:dyDescent="0.3">
      <c r="B53" s="335" t="s">
        <v>103</v>
      </c>
      <c r="C53" s="336"/>
      <c r="D53" s="201">
        <f>SUM(F39:F42,F44:F46,F48:F52)</f>
        <v>16000</v>
      </c>
      <c r="F53" s="7"/>
      <c r="G53" s="7"/>
      <c r="H53" s="9"/>
    </row>
    <row r="54" spans="2:10" ht="3.6" customHeight="1" thickBot="1" x14ac:dyDescent="0.35">
      <c r="B54"/>
      <c r="C54" s="7"/>
      <c r="F54" s="7"/>
      <c r="G54" s="7"/>
      <c r="H54" s="9"/>
    </row>
    <row r="55" spans="2:10" ht="18" customHeight="1" thickBot="1" x14ac:dyDescent="0.35">
      <c r="B55" s="335" t="s">
        <v>104</v>
      </c>
      <c r="C55" s="336"/>
      <c r="D55" s="201">
        <f>+SUM(C39:C42)+SUM(C44:C46)+SUM(C48:C52)+E8-F8-D21</f>
        <v>132200</v>
      </c>
      <c r="F55" s="7"/>
      <c r="G55" s="7"/>
      <c r="H55" s="9"/>
    </row>
    <row r="56" spans="2:10" s="6" customFormat="1" ht="3" customHeight="1" thickBot="1" x14ac:dyDescent="0.35">
      <c r="B56" s="207"/>
      <c r="C56" s="299"/>
      <c r="D56" s="300"/>
      <c r="F56" s="208"/>
      <c r="G56" s="208"/>
      <c r="H56" s="209"/>
    </row>
    <row r="57" spans="2:10" ht="16.2" thickBot="1" x14ac:dyDescent="0.35">
      <c r="B57" s="349" t="s">
        <v>51</v>
      </c>
      <c r="C57" s="350"/>
      <c r="D57" s="350"/>
      <c r="E57" s="350"/>
      <c r="F57" s="350"/>
      <c r="G57" s="350"/>
      <c r="H57" s="350"/>
      <c r="I57" s="351"/>
    </row>
    <row r="58" spans="2:10" x14ac:dyDescent="0.3">
      <c r="B58" s="352"/>
      <c r="C58" s="352"/>
      <c r="D58" s="352"/>
      <c r="E58" s="352"/>
      <c r="F58" s="352"/>
      <c r="G58" s="352"/>
      <c r="H58" s="352"/>
      <c r="I58" s="6"/>
      <c r="J58" s="6"/>
    </row>
    <row r="59" spans="2:10" x14ac:dyDescent="0.3">
      <c r="B59" s="6"/>
      <c r="C59" s="208"/>
      <c r="D59" s="6"/>
      <c r="E59" s="6"/>
      <c r="F59" s="208"/>
      <c r="G59" s="208"/>
      <c r="H59" s="209"/>
      <c r="I59" s="6"/>
      <c r="J59" s="6"/>
    </row>
    <row r="60" spans="2:10" x14ac:dyDescent="0.3">
      <c r="B60" s="149"/>
      <c r="C60" s="203"/>
      <c r="D60" s="149"/>
      <c r="E60" s="149"/>
      <c r="F60" s="203"/>
      <c r="G60" s="210"/>
      <c r="H60" s="211"/>
      <c r="I60" s="6"/>
      <c r="J60" s="6"/>
    </row>
    <row r="61" spans="2:10" x14ac:dyDescent="0.3">
      <c r="B61" s="149"/>
      <c r="C61" s="203"/>
      <c r="D61" s="149"/>
      <c r="E61" s="149"/>
      <c r="F61" s="203"/>
      <c r="G61" s="210"/>
      <c r="H61" s="211"/>
      <c r="I61" s="6"/>
      <c r="J61" s="6"/>
    </row>
    <row r="62" spans="2:10" x14ac:dyDescent="0.3">
      <c r="B62" s="149"/>
      <c r="C62" s="203"/>
      <c r="D62" s="149"/>
      <c r="E62" s="149"/>
      <c r="F62" s="203"/>
      <c r="G62" s="210"/>
      <c r="H62" s="211"/>
      <c r="I62" s="212"/>
      <c r="J62" s="6"/>
    </row>
    <row r="63" spans="2:10" x14ac:dyDescent="0.3">
      <c r="B63" s="337"/>
      <c r="C63" s="337"/>
      <c r="D63" s="338"/>
      <c r="E63" s="338"/>
      <c r="F63" s="208"/>
      <c r="G63" s="208"/>
      <c r="H63" s="209"/>
      <c r="I63" s="6"/>
      <c r="J63" s="6"/>
    </row>
    <row r="64" spans="2:10" ht="3.6" customHeight="1" x14ac:dyDescent="0.3">
      <c r="B64" s="6"/>
      <c r="C64" s="208"/>
      <c r="D64" s="6"/>
      <c r="E64" s="6"/>
      <c r="F64" s="208"/>
      <c r="G64" s="208"/>
      <c r="H64" s="209"/>
      <c r="I64" s="6"/>
      <c r="J64" s="6"/>
    </row>
    <row r="65" spans="2:10" x14ac:dyDescent="0.3">
      <c r="B65" s="339"/>
      <c r="C65" s="339"/>
      <c r="D65" s="339"/>
      <c r="E65" s="339"/>
      <c r="F65" s="339"/>
      <c r="G65" s="339"/>
      <c r="H65" s="339"/>
      <c r="I65" s="339"/>
      <c r="J65" s="6"/>
    </row>
    <row r="66" spans="2:10" x14ac:dyDescent="0.3">
      <c r="B66" s="202"/>
      <c r="C66" s="6"/>
      <c r="D66" s="6"/>
      <c r="E66" s="6"/>
      <c r="F66" s="6"/>
      <c r="G66" s="6"/>
      <c r="H66" s="6"/>
      <c r="I66" s="6"/>
      <c r="J66" s="6"/>
    </row>
    <row r="67" spans="2:10" x14ac:dyDescent="0.3">
      <c r="B67" s="202"/>
      <c r="C67" s="6"/>
      <c r="D67" s="6"/>
      <c r="E67" s="6"/>
      <c r="F67" s="6"/>
      <c r="G67" s="6"/>
      <c r="H67" s="6"/>
      <c r="I67" s="6"/>
      <c r="J67" s="6"/>
    </row>
  </sheetData>
  <mergeCells count="32">
    <mergeCell ref="B32:C32"/>
    <mergeCell ref="F32:H32"/>
    <mergeCell ref="B2:I3"/>
    <mergeCell ref="B5:I5"/>
    <mergeCell ref="B25:I25"/>
    <mergeCell ref="B27:C27"/>
    <mergeCell ref="B30:C30"/>
    <mergeCell ref="B29:C29"/>
    <mergeCell ref="B19:C19"/>
    <mergeCell ref="B23:C23"/>
    <mergeCell ref="B21:C21"/>
    <mergeCell ref="H19:I19"/>
    <mergeCell ref="B22:C22"/>
    <mergeCell ref="H23:I23"/>
    <mergeCell ref="H22:I22"/>
    <mergeCell ref="H21:I21"/>
    <mergeCell ref="B7:C8"/>
    <mergeCell ref="B10:I10"/>
    <mergeCell ref="H7:I7"/>
    <mergeCell ref="H8:I8"/>
    <mergeCell ref="B17:I17"/>
    <mergeCell ref="B55:C55"/>
    <mergeCell ref="B63:C63"/>
    <mergeCell ref="D63:E63"/>
    <mergeCell ref="B65:I65"/>
    <mergeCell ref="B34:I35"/>
    <mergeCell ref="B38:I38"/>
    <mergeCell ref="B43:I43"/>
    <mergeCell ref="B47:I47"/>
    <mergeCell ref="B53:C53"/>
    <mergeCell ref="B57:I57"/>
    <mergeCell ref="B58:H58"/>
  </mergeCells>
  <dataValidations count="3">
    <dataValidation type="list" allowBlank="1" showInputMessage="1" showErrorMessage="1" sqref="B29:C30" xr:uid="{3D161660-D140-4743-A4D6-54F82D4A80E5}">
      <formula1>"Changement RP,Travaux,Investissement,Autre"</formula1>
    </dataValidation>
    <dataValidation type="list" allowBlank="1" showInputMessage="1" showErrorMessage="1" sqref="H53:H56 H60:H62 H43 H38" xr:uid="{DAEA72D6-35C5-4136-8E3A-55D3ACD20A83}">
      <formula1>$B$33:$B$33</formula1>
    </dataValidation>
    <dataValidation type="list" allowBlank="1" showInputMessage="1" showErrorMessage="1" sqref="H39:H42 H44:H46 H48:H52" xr:uid="{87BAB89B-119F-42F6-88A9-512A422B768A}">
      <formula1>"Libre,Sous Mandat"</formula1>
    </dataValidation>
  </dataValidations>
  <pageMargins left="0.7" right="0.7" top="0.75" bottom="0.75" header="0.3" footer="0.3"/>
  <pageSetup paperSize="9" orientation="portrait" horizontalDpi="360" verticalDpi="360" r:id="rId1"/>
  <ignoredErrors>
    <ignoredError sqref="C39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2A86-8351-4C61-9DAE-57D406BA8582}">
  <dimension ref="B1:L30"/>
  <sheetViews>
    <sheetView showGridLines="0" zoomScaleNormal="100" workbookViewId="0">
      <selection activeCell="D9" sqref="D9"/>
    </sheetView>
  </sheetViews>
  <sheetFormatPr baseColWidth="10" defaultColWidth="11" defaultRowHeight="15.6" x14ac:dyDescent="0.3"/>
  <cols>
    <col min="1" max="1" width="6.19921875" customWidth="1"/>
    <col min="2" max="2" width="14.5" style="4" customWidth="1"/>
    <col min="3" max="3" width="13.5" bestFit="1" customWidth="1"/>
    <col min="4" max="4" width="14" bestFit="1" customWidth="1"/>
    <col min="5" max="5" width="14.69921875" bestFit="1" customWidth="1"/>
    <col min="6" max="7" width="12.8984375" customWidth="1"/>
    <col min="10" max="10" width="12.19921875" customWidth="1"/>
    <col min="11" max="11" width="13.19921875" customWidth="1"/>
    <col min="12" max="12" width="14.8984375" customWidth="1"/>
  </cols>
  <sheetData>
    <row r="1" spans="2:12" ht="3" customHeight="1" thickBot="1" x14ac:dyDescent="0.35"/>
    <row r="2" spans="2:12" ht="19.95" customHeight="1" x14ac:dyDescent="0.3">
      <c r="B2" s="340" t="s">
        <v>105</v>
      </c>
      <c r="C2" s="341"/>
      <c r="D2" s="341"/>
      <c r="E2" s="341"/>
      <c r="F2" s="342"/>
      <c r="G2" s="223"/>
      <c r="H2" s="223"/>
      <c r="I2" s="223"/>
      <c r="J2" s="223"/>
      <c r="K2" s="223"/>
    </row>
    <row r="3" spans="2:12" ht="19.95" customHeight="1" thickBot="1" x14ac:dyDescent="0.35">
      <c r="B3" s="343"/>
      <c r="C3" s="344"/>
      <c r="D3" s="344"/>
      <c r="E3" s="344"/>
      <c r="F3" s="345"/>
      <c r="G3" s="223"/>
      <c r="H3" s="223"/>
      <c r="I3" s="223"/>
      <c r="J3" s="223"/>
      <c r="K3" s="223"/>
    </row>
    <row r="4" spans="2:12" ht="4.2" customHeight="1" thickBot="1" x14ac:dyDescent="0.35"/>
    <row r="5" spans="2:12" ht="12" customHeight="1" x14ac:dyDescent="0.3">
      <c r="B5" s="335" t="s">
        <v>64</v>
      </c>
      <c r="C5" s="386"/>
      <c r="D5" s="386"/>
      <c r="E5" s="386"/>
      <c r="F5" s="336"/>
      <c r="I5" s="240"/>
      <c r="J5" s="240"/>
    </row>
    <row r="6" spans="2:12" ht="12" customHeight="1" thickBot="1" x14ac:dyDescent="0.35">
      <c r="B6" s="353"/>
      <c r="C6" s="354"/>
      <c r="D6" s="354"/>
      <c r="E6" s="354"/>
      <c r="F6" s="387"/>
      <c r="I6" s="205"/>
      <c r="J6" s="205"/>
    </row>
    <row r="7" spans="2:12" ht="15" customHeight="1" thickBot="1" x14ac:dyDescent="0.35">
      <c r="B7" s="390" t="s">
        <v>65</v>
      </c>
      <c r="C7" s="391"/>
      <c r="D7" s="272" t="s">
        <v>66</v>
      </c>
      <c r="E7" s="272" t="s">
        <v>106</v>
      </c>
      <c r="F7" s="273" t="s">
        <v>107</v>
      </c>
    </row>
    <row r="8" spans="2:12" ht="15" customHeight="1" thickBot="1" x14ac:dyDescent="0.35">
      <c r="B8" s="388" t="s">
        <v>108</v>
      </c>
      <c r="C8" s="389"/>
      <c r="D8" s="226">
        <v>63000</v>
      </c>
      <c r="E8" s="226">
        <f>D8*0.015</f>
        <v>945</v>
      </c>
      <c r="F8" s="248"/>
    </row>
    <row r="9" spans="2:12" ht="3" customHeight="1" thickBot="1" x14ac:dyDescent="0.35">
      <c r="B9" s="217"/>
      <c r="C9" s="218"/>
      <c r="D9" s="218"/>
      <c r="E9" s="219"/>
      <c r="F9" s="219"/>
    </row>
    <row r="10" spans="2:12" ht="16.2" thickBot="1" x14ac:dyDescent="0.35">
      <c r="B10" s="355" t="s">
        <v>63</v>
      </c>
      <c r="C10" s="356"/>
      <c r="D10" s="356"/>
      <c r="E10" s="356"/>
      <c r="F10" s="357"/>
    </row>
    <row r="11" spans="2:12" ht="6" customHeight="1" thickBot="1" x14ac:dyDescent="0.35"/>
    <row r="12" spans="2:12" ht="26.4" customHeight="1" thickBot="1" x14ac:dyDescent="0.35">
      <c r="B12" s="398" t="s">
        <v>109</v>
      </c>
      <c r="C12" s="399"/>
      <c r="D12" s="274" t="s">
        <v>66</v>
      </c>
      <c r="E12" s="274" t="s">
        <v>106</v>
      </c>
      <c r="F12" s="275" t="s">
        <v>110</v>
      </c>
      <c r="L12" s="240"/>
    </row>
    <row r="13" spans="2:12" ht="3" customHeight="1" thickBot="1" x14ac:dyDescent="0.35">
      <c r="B13" s="220"/>
      <c r="F13" s="221"/>
      <c r="L13" s="6"/>
    </row>
    <row r="14" spans="2:12" x14ac:dyDescent="0.3">
      <c r="B14" s="371"/>
      <c r="C14" s="372"/>
      <c r="D14" s="249"/>
      <c r="E14" s="249">
        <f>IF(ISBLANK(D14),0,D14*0.015)</f>
        <v>0</v>
      </c>
      <c r="F14" s="250"/>
      <c r="L14" s="6"/>
    </row>
    <row r="15" spans="2:12" x14ac:dyDescent="0.3">
      <c r="B15" s="383"/>
      <c r="C15" s="384"/>
      <c r="D15" s="251"/>
      <c r="E15" s="251">
        <f t="shared" ref="E15:E17" si="0">IF(ISBLANK(D15),0,D15*0.015)</f>
        <v>0</v>
      </c>
      <c r="F15" s="252"/>
      <c r="L15" s="6"/>
    </row>
    <row r="16" spans="2:12" x14ac:dyDescent="0.3">
      <c r="B16" s="383"/>
      <c r="C16" s="384"/>
      <c r="D16" s="251"/>
      <c r="E16" s="251">
        <f t="shared" si="0"/>
        <v>0</v>
      </c>
      <c r="F16" s="252"/>
      <c r="L16" s="6"/>
    </row>
    <row r="17" spans="2:12" ht="16.2" thickBot="1" x14ac:dyDescent="0.35">
      <c r="B17" s="369"/>
      <c r="C17" s="370"/>
      <c r="D17" s="253"/>
      <c r="E17" s="253">
        <f t="shared" si="0"/>
        <v>0</v>
      </c>
      <c r="F17" s="254"/>
      <c r="L17" s="181"/>
    </row>
    <row r="18" spans="2:12" ht="6" customHeight="1" thickBot="1" x14ac:dyDescent="0.35"/>
    <row r="19" spans="2:12" ht="16.2" thickBot="1" x14ac:dyDescent="0.35">
      <c r="B19" s="355" t="s">
        <v>111</v>
      </c>
      <c r="C19" s="356"/>
      <c r="D19" s="356"/>
      <c r="E19" s="356"/>
      <c r="F19" s="357"/>
    </row>
    <row r="20" spans="2:12" ht="6" customHeight="1" thickBot="1" x14ac:dyDescent="0.35">
      <c r="B20"/>
    </row>
    <row r="21" spans="2:12" ht="27" customHeight="1" thickBot="1" x14ac:dyDescent="0.35">
      <c r="B21" s="213" t="s">
        <v>112</v>
      </c>
      <c r="C21" s="214" t="s">
        <v>113</v>
      </c>
      <c r="D21" s="215" t="s">
        <v>114</v>
      </c>
      <c r="E21" s="214" t="s">
        <v>115</v>
      </c>
      <c r="F21" s="216" t="s">
        <v>116</v>
      </c>
    </row>
    <row r="22" spans="2:12" ht="16.2" thickBot="1" x14ac:dyDescent="0.35">
      <c r="B22" s="225">
        <v>0.5</v>
      </c>
      <c r="C22" s="224">
        <v>2</v>
      </c>
      <c r="D22" s="226">
        <f>('Etat Civil'!H8+'Etat Civil'!H13+'Etat Civil'!H10+'Etat Civil'!H15)*'Prévision retraite'!B22+'Etat Civil'!H9+'Etat Civil'!H14+(SUM(F14:F17)*12)*0.8</f>
        <v>43120</v>
      </c>
      <c r="E22" s="226">
        <f>'Impôt Retraite'!D14</f>
        <v>2586.8500000000004</v>
      </c>
      <c r="F22" s="227">
        <f>SUM(E8,E14:E17)</f>
        <v>945</v>
      </c>
      <c r="G22" s="240"/>
      <c r="H22" s="240"/>
      <c r="I22" s="337"/>
      <c r="J22" s="337"/>
    </row>
    <row r="23" spans="2:12" ht="6.6" customHeight="1" thickBot="1" x14ac:dyDescent="0.35">
      <c r="B23"/>
      <c r="F23" s="206"/>
      <c r="G23" s="6"/>
      <c r="H23" s="6"/>
      <c r="I23" s="6"/>
      <c r="J23" s="6"/>
    </row>
    <row r="24" spans="2:12" ht="17.399999999999999" customHeight="1" x14ac:dyDescent="0.3">
      <c r="B24" s="392" t="s">
        <v>117</v>
      </c>
      <c r="C24" s="393"/>
      <c r="D24" s="394"/>
      <c r="E24" s="276">
        <f>D22-F22-E22</f>
        <v>39588.15</v>
      </c>
      <c r="F24" s="228" t="str">
        <f>ROUND((E24/12),0)&amp;"€/mois"</f>
        <v>3299€/mois</v>
      </c>
      <c r="G24" s="204"/>
      <c r="H24" s="203"/>
      <c r="I24" s="385"/>
      <c r="J24" s="385"/>
    </row>
    <row r="25" spans="2:12" ht="16.95" customHeight="1" thickBot="1" x14ac:dyDescent="0.35">
      <c r="B25" s="395" t="s">
        <v>118</v>
      </c>
      <c r="C25" s="396"/>
      <c r="D25" s="397"/>
      <c r="E25" s="277">
        <f>E24-C30</f>
        <v>7508.2300000000032</v>
      </c>
      <c r="F25" s="229" t="str">
        <f>ROUND((E25/12),0)&amp;"€/mois"</f>
        <v>626€/mois</v>
      </c>
    </row>
    <row r="26" spans="2:12" ht="3" customHeight="1" thickBot="1" x14ac:dyDescent="0.35">
      <c r="B26" s="150"/>
      <c r="C26" s="203"/>
      <c r="D26" s="149"/>
      <c r="E26" s="149"/>
      <c r="F26" s="149"/>
      <c r="G26" s="204"/>
      <c r="H26" s="203"/>
      <c r="I26" s="385"/>
      <c r="J26" s="385"/>
    </row>
    <row r="27" spans="2:12" ht="16.95" customHeight="1" thickBot="1" x14ac:dyDescent="0.35">
      <c r="B27" s="349" t="s">
        <v>51</v>
      </c>
      <c r="C27" s="350"/>
      <c r="D27" s="350"/>
      <c r="E27" s="350"/>
      <c r="F27" s="351"/>
      <c r="G27" s="222"/>
      <c r="H27" s="222"/>
      <c r="I27" s="222"/>
      <c r="J27" s="222"/>
      <c r="K27" s="222"/>
    </row>
    <row r="28" spans="2:12" ht="4.2" customHeight="1" x14ac:dyDescent="0.3"/>
    <row r="29" spans="2:12" ht="13.2" customHeight="1" x14ac:dyDescent="0.3">
      <c r="B29" s="339"/>
      <c r="C29" s="339"/>
      <c r="D29" s="339"/>
      <c r="E29" s="339"/>
      <c r="F29" s="339"/>
      <c r="G29" s="339"/>
      <c r="H29" s="339"/>
      <c r="I29" s="339"/>
      <c r="J29" s="339"/>
      <c r="K29" s="339"/>
    </row>
    <row r="30" spans="2:12" hidden="1" x14ac:dyDescent="0.3">
      <c r="B30" s="4" t="s">
        <v>119</v>
      </c>
      <c r="C30" s="247">
        <f>('Etat Civil'!H8+'Etat Civil'!H13+'Etat Civil'!H10+'Etat Civil'!H15)-'Etat Civil'!G25-('Principaux objectifs'!F5*12)+(SUM('Situation Patrimoniale'!H13:H15)*0.8)*12-SUM('Situation Patrimoniale'!G13:G15)*12-SUM('Situation Patrimoniale'!G21:G23)*12-IF('Situation Patrimoniale'!B29="Changement RP",'Situation Patrimoniale'!G29*12,IF('Situation Patrimoniale'!B30="Changement RP",'Situation Patrimoniale'!G30*12,'Situation Patrimoniale'!H8*12))</f>
        <v>32079.919999999998</v>
      </c>
    </row>
  </sheetData>
  <mergeCells count="18">
    <mergeCell ref="B29:K29"/>
    <mergeCell ref="I26:J26"/>
    <mergeCell ref="B5:F6"/>
    <mergeCell ref="B10:F10"/>
    <mergeCell ref="B8:C8"/>
    <mergeCell ref="B7:C7"/>
    <mergeCell ref="B24:D24"/>
    <mergeCell ref="B27:F27"/>
    <mergeCell ref="B25:D25"/>
    <mergeCell ref="B19:F19"/>
    <mergeCell ref="I24:J24"/>
    <mergeCell ref="I22:J22"/>
    <mergeCell ref="B12:C12"/>
    <mergeCell ref="B17:C17"/>
    <mergeCell ref="B16:C16"/>
    <mergeCell ref="B15:C15"/>
    <mergeCell ref="B14:C14"/>
    <mergeCell ref="B2:F3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AA26-0AED-4447-AB1C-CE0270352784}">
  <dimension ref="B1:M23"/>
  <sheetViews>
    <sheetView showGridLines="0" zoomScale="110" zoomScaleNormal="110" workbookViewId="0">
      <selection activeCell="M16" activeCellId="2" sqref="B2:L3 B7:M7 B16:M16"/>
    </sheetView>
  </sheetViews>
  <sheetFormatPr baseColWidth="10" defaultColWidth="11" defaultRowHeight="15.6" x14ac:dyDescent="0.3"/>
  <cols>
    <col min="1" max="1" width="6.19921875" customWidth="1"/>
    <col min="2" max="2" width="11.19921875" style="4"/>
    <col min="3" max="3" width="14.09765625" bestFit="1" customWidth="1"/>
    <col min="4" max="4" width="14" bestFit="1" customWidth="1"/>
    <col min="5" max="5" width="15.3984375" customWidth="1"/>
    <col min="6" max="6" width="12.69921875" customWidth="1"/>
    <col min="8" max="8" width="11.59765625" bestFit="1" customWidth="1"/>
    <col min="9" max="9" width="12.19921875" customWidth="1"/>
    <col min="10" max="10" width="1.3984375" customWidth="1"/>
    <col min="11" max="11" width="12.3984375" customWidth="1"/>
    <col min="12" max="12" width="20.8984375" customWidth="1"/>
    <col min="13" max="13" width="14.8984375" customWidth="1"/>
  </cols>
  <sheetData>
    <row r="1" spans="2:13" ht="3" customHeight="1" thickBot="1" x14ac:dyDescent="0.35"/>
    <row r="2" spans="2:13" ht="19.95" customHeight="1" x14ac:dyDescent="0.3">
      <c r="B2" s="340" t="s">
        <v>120</v>
      </c>
      <c r="C2" s="341"/>
      <c r="D2" s="341"/>
      <c r="E2" s="341"/>
      <c r="F2" s="341"/>
      <c r="G2" s="341"/>
      <c r="H2" s="341"/>
      <c r="I2" s="341"/>
      <c r="J2" s="341"/>
      <c r="K2" s="341"/>
      <c r="L2" s="342"/>
    </row>
    <row r="3" spans="2:13" ht="19.95" customHeight="1" thickBot="1" x14ac:dyDescent="0.35">
      <c r="B3" s="343"/>
      <c r="C3" s="344"/>
      <c r="D3" s="344"/>
      <c r="E3" s="344"/>
      <c r="F3" s="344"/>
      <c r="G3" s="344"/>
      <c r="H3" s="344"/>
      <c r="I3" s="344"/>
      <c r="J3" s="344"/>
      <c r="K3" s="344"/>
      <c r="L3" s="345"/>
    </row>
    <row r="4" spans="2:13" ht="4.2" customHeight="1" x14ac:dyDescent="0.3"/>
    <row r="5" spans="2:13" x14ac:dyDescent="0.3">
      <c r="B5" s="362" t="s">
        <v>121</v>
      </c>
      <c r="C5" s="362"/>
      <c r="D5" s="362"/>
      <c r="E5" s="362"/>
      <c r="F5" s="362"/>
      <c r="G5" s="362"/>
      <c r="H5" s="362"/>
      <c r="I5" s="362"/>
      <c r="J5" s="362"/>
      <c r="K5" s="362"/>
      <c r="L5" s="362"/>
    </row>
    <row r="6" spans="2:13" ht="6" customHeight="1" thickBot="1" x14ac:dyDescent="0.35"/>
    <row r="7" spans="2:13" ht="16.2" thickBot="1" x14ac:dyDescent="0.35">
      <c r="B7" s="271" t="s">
        <v>109</v>
      </c>
      <c r="C7" s="272" t="s">
        <v>66</v>
      </c>
      <c r="D7" s="272" t="s">
        <v>30</v>
      </c>
      <c r="E7" s="272" t="s">
        <v>122</v>
      </c>
      <c r="F7" s="272" t="s">
        <v>123</v>
      </c>
      <c r="G7" s="272" t="s">
        <v>68</v>
      </c>
      <c r="H7" s="272" t="s">
        <v>75</v>
      </c>
      <c r="I7" s="272" t="s">
        <v>82</v>
      </c>
      <c r="J7" s="391" t="s">
        <v>88</v>
      </c>
      <c r="K7" s="391"/>
      <c r="L7" s="273" t="s">
        <v>124</v>
      </c>
      <c r="M7" s="273" t="s">
        <v>125</v>
      </c>
    </row>
    <row r="8" spans="2:13" ht="4.95" customHeight="1" thickBot="1" x14ac:dyDescent="0.35">
      <c r="K8" s="1"/>
    </row>
    <row r="9" spans="2:13" x14ac:dyDescent="0.3">
      <c r="B9" s="238"/>
      <c r="C9" s="255"/>
      <c r="D9" s="255"/>
      <c r="E9" s="255"/>
      <c r="F9" s="107"/>
      <c r="G9" s="107"/>
      <c r="H9" s="258"/>
      <c r="I9" s="131"/>
      <c r="J9" s="401"/>
      <c r="K9" s="402"/>
      <c r="L9" s="263"/>
    </row>
    <row r="10" spans="2:13" x14ac:dyDescent="0.3">
      <c r="B10" s="241"/>
      <c r="C10" s="256"/>
      <c r="D10" s="256"/>
      <c r="E10" s="256"/>
      <c r="F10" s="122"/>
      <c r="G10" s="122"/>
      <c r="H10" s="259"/>
      <c r="I10" s="132"/>
      <c r="J10" s="403"/>
      <c r="K10" s="404"/>
      <c r="L10" s="264"/>
    </row>
    <row r="11" spans="2:13" ht="16.2" thickBot="1" x14ac:dyDescent="0.35">
      <c r="B11" s="241"/>
      <c r="C11" s="256"/>
      <c r="D11" s="256"/>
      <c r="E11" s="256"/>
      <c r="F11" s="108"/>
      <c r="G11" s="108"/>
      <c r="H11" s="260"/>
      <c r="I11" s="20"/>
      <c r="J11" s="405"/>
      <c r="K11" s="405"/>
      <c r="L11" s="264"/>
    </row>
    <row r="12" spans="2:13" ht="16.2" thickBot="1" x14ac:dyDescent="0.35">
      <c r="B12" s="236"/>
      <c r="C12" s="257"/>
      <c r="D12" s="257"/>
      <c r="E12" s="257"/>
      <c r="F12" s="109"/>
      <c r="G12" s="109"/>
      <c r="H12" s="261"/>
      <c r="I12" s="19"/>
      <c r="J12" s="406"/>
      <c r="K12" s="406"/>
      <c r="L12" s="265"/>
      <c r="M12" s="262"/>
    </row>
    <row r="13" spans="2:13" ht="11.4" customHeight="1" thickBot="1" x14ac:dyDescent="0.35"/>
    <row r="14" spans="2:13" ht="16.2" thickBot="1" x14ac:dyDescent="0.35">
      <c r="B14" s="355" t="s">
        <v>126</v>
      </c>
      <c r="C14" s="356"/>
      <c r="D14" s="356"/>
      <c r="E14" s="356"/>
      <c r="F14" s="356"/>
      <c r="G14" s="356"/>
      <c r="H14" s="356"/>
      <c r="I14" s="356"/>
      <c r="J14" s="356"/>
      <c r="K14" s="356"/>
      <c r="L14" s="357"/>
    </row>
    <row r="15" spans="2:13" ht="6" customHeight="1" thickBot="1" x14ac:dyDescent="0.35"/>
    <row r="16" spans="2:13" ht="16.2" thickBot="1" x14ac:dyDescent="0.35">
      <c r="B16" s="271" t="s">
        <v>109</v>
      </c>
      <c r="C16" s="272" t="s">
        <v>66</v>
      </c>
      <c r="D16" s="272" t="s">
        <v>30</v>
      </c>
      <c r="E16" s="272" t="s">
        <v>122</v>
      </c>
      <c r="F16" s="272" t="s">
        <v>123</v>
      </c>
      <c r="G16" s="272" t="s">
        <v>68</v>
      </c>
      <c r="H16" s="272" t="s">
        <v>75</v>
      </c>
      <c r="I16" s="272" t="s">
        <v>82</v>
      </c>
      <c r="J16" s="391" t="s">
        <v>88</v>
      </c>
      <c r="K16" s="391"/>
      <c r="L16" s="273" t="s">
        <v>124</v>
      </c>
      <c r="M16" s="273" t="s">
        <v>125</v>
      </c>
    </row>
    <row r="17" spans="2:13" ht="4.95" customHeight="1" thickBot="1" x14ac:dyDescent="0.35">
      <c r="K17" s="1"/>
    </row>
    <row r="18" spans="2:13" ht="16.95" customHeight="1" x14ac:dyDescent="0.3">
      <c r="B18" s="238"/>
      <c r="C18" s="255"/>
      <c r="D18" s="255"/>
      <c r="E18" s="255"/>
      <c r="F18" s="107"/>
      <c r="G18" s="107"/>
      <c r="H18" s="258"/>
      <c r="I18" s="131"/>
      <c r="J18" s="401"/>
      <c r="K18" s="402"/>
      <c r="L18" s="263"/>
    </row>
    <row r="19" spans="2:13" ht="16.95" customHeight="1" x14ac:dyDescent="0.3">
      <c r="B19" s="241"/>
      <c r="C19" s="256"/>
      <c r="D19" s="256"/>
      <c r="E19" s="256"/>
      <c r="F19" s="122"/>
      <c r="G19" s="122"/>
      <c r="H19" s="259"/>
      <c r="I19" s="132"/>
      <c r="J19" s="403"/>
      <c r="K19" s="404"/>
      <c r="L19" s="264"/>
    </row>
    <row r="20" spans="2:13" ht="16.95" customHeight="1" thickBot="1" x14ac:dyDescent="0.35">
      <c r="B20" s="241"/>
      <c r="C20" s="256"/>
      <c r="D20" s="256"/>
      <c r="E20" s="256"/>
      <c r="F20" s="108"/>
      <c r="G20" s="108"/>
      <c r="H20" s="260"/>
      <c r="I20" s="20"/>
      <c r="J20" s="405"/>
      <c r="K20" s="405"/>
      <c r="L20" s="264"/>
    </row>
    <row r="21" spans="2:13" ht="16.2" thickBot="1" x14ac:dyDescent="0.35">
      <c r="B21" s="236"/>
      <c r="C21" s="257"/>
      <c r="D21" s="257"/>
      <c r="E21" s="257"/>
      <c r="F21" s="109"/>
      <c r="G21" s="109"/>
      <c r="H21" s="261"/>
      <c r="I21" s="19"/>
      <c r="J21" s="406"/>
      <c r="K21" s="406"/>
      <c r="L21" s="265"/>
      <c r="M21" s="262"/>
    </row>
    <row r="22" spans="2:13" ht="4.2" customHeight="1" x14ac:dyDescent="0.3"/>
    <row r="23" spans="2:13" ht="13.2" customHeight="1" x14ac:dyDescent="0.3">
      <c r="B23" s="400" t="s">
        <v>51</v>
      </c>
      <c r="C23" s="400"/>
      <c r="D23" s="400"/>
      <c r="E23" s="400"/>
      <c r="F23" s="400"/>
      <c r="G23" s="400"/>
      <c r="H23" s="400"/>
      <c r="I23" s="400"/>
      <c r="J23" s="400"/>
      <c r="K23" s="400"/>
      <c r="L23" s="400"/>
    </row>
  </sheetData>
  <mergeCells count="14">
    <mergeCell ref="J12:K12"/>
    <mergeCell ref="B2:L3"/>
    <mergeCell ref="B5:L5"/>
    <mergeCell ref="J7:K7"/>
    <mergeCell ref="J9:K9"/>
    <mergeCell ref="J10:K10"/>
    <mergeCell ref="J11:K11"/>
    <mergeCell ref="B23:L23"/>
    <mergeCell ref="B14:L14"/>
    <mergeCell ref="J18:K18"/>
    <mergeCell ref="J19:K19"/>
    <mergeCell ref="J20:K20"/>
    <mergeCell ref="J21:K21"/>
    <mergeCell ref="J16:K16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77CC-D387-FE45-A725-7BE9EDF6527B}">
  <dimension ref="B1:J33"/>
  <sheetViews>
    <sheetView showGridLines="0" zoomScale="115" zoomScaleNormal="115" workbookViewId="0">
      <selection activeCell="C34" sqref="C34"/>
    </sheetView>
  </sheetViews>
  <sheetFormatPr baseColWidth="10" defaultColWidth="11" defaultRowHeight="15.6" x14ac:dyDescent="0.3"/>
  <cols>
    <col min="1" max="1" width="2.19921875" customWidth="1"/>
    <col min="2" max="2" width="23.19921875" customWidth="1"/>
    <col min="3" max="3" width="16.69921875" style="5" customWidth="1"/>
    <col min="4" max="4" width="16.19921875" customWidth="1"/>
    <col min="5" max="5" width="18.19921875" customWidth="1"/>
    <col min="6" max="7" width="17.69921875" style="5" customWidth="1"/>
    <col min="8" max="8" width="17.69921875" style="8" customWidth="1"/>
    <col min="9" max="9" width="3.19921875" customWidth="1"/>
  </cols>
  <sheetData>
    <row r="1" spans="2:10" ht="2.4" customHeight="1" thickBot="1" x14ac:dyDescent="0.35"/>
    <row r="2" spans="2:10" ht="15.6" customHeight="1" x14ac:dyDescent="0.3">
      <c r="B2" s="413" t="s">
        <v>86</v>
      </c>
      <c r="C2" s="414"/>
      <c r="D2" s="414"/>
      <c r="E2" s="414"/>
      <c r="F2" s="414"/>
      <c r="G2" s="414"/>
      <c r="H2" s="414"/>
      <c r="I2" s="414"/>
      <c r="J2" s="415"/>
    </row>
    <row r="3" spans="2:10" ht="16.2" customHeight="1" thickBot="1" x14ac:dyDescent="0.35">
      <c r="B3" s="416"/>
      <c r="C3" s="417"/>
      <c r="D3" s="417"/>
      <c r="E3" s="417"/>
      <c r="F3" s="417"/>
      <c r="G3" s="417"/>
      <c r="H3" s="417"/>
      <c r="I3" s="417"/>
      <c r="J3" s="418"/>
    </row>
    <row r="4" spans="2:10" ht="4.95" customHeight="1" thickBot="1" x14ac:dyDescent="0.35">
      <c r="C4" s="7"/>
      <c r="F4" s="7"/>
      <c r="G4" s="7"/>
      <c r="H4" s="9"/>
    </row>
    <row r="5" spans="2:10" ht="16.2" thickBot="1" x14ac:dyDescent="0.35">
      <c r="B5" s="244" t="s">
        <v>127</v>
      </c>
      <c r="C5" s="11" t="s">
        <v>66</v>
      </c>
      <c r="D5" s="245" t="s">
        <v>88</v>
      </c>
      <c r="E5" s="245" t="s">
        <v>128</v>
      </c>
      <c r="F5" s="12" t="s">
        <v>90</v>
      </c>
      <c r="G5" s="13" t="s">
        <v>91</v>
      </c>
      <c r="H5" s="14" t="s">
        <v>129</v>
      </c>
      <c r="I5" s="421" t="s">
        <v>130</v>
      </c>
      <c r="J5" s="422"/>
    </row>
    <row r="6" spans="2:10" ht="3.6" customHeight="1" thickBot="1" x14ac:dyDescent="0.35">
      <c r="C6" s="7"/>
      <c r="F6" s="7"/>
      <c r="G6" s="7"/>
      <c r="H6" s="9"/>
    </row>
    <row r="7" spans="2:10" ht="16.2" thickBot="1" x14ac:dyDescent="0.35">
      <c r="B7" s="330" t="s">
        <v>101</v>
      </c>
      <c r="C7" s="331"/>
      <c r="D7" s="331"/>
      <c r="E7" s="331"/>
      <c r="F7" s="331"/>
      <c r="G7" s="331"/>
      <c r="H7" s="419"/>
    </row>
    <row r="8" spans="2:10" ht="4.95" customHeight="1" thickBot="1" x14ac:dyDescent="0.35">
      <c r="C8" s="7"/>
      <c r="F8" s="7"/>
      <c r="G8" s="7"/>
      <c r="H8" s="9"/>
    </row>
    <row r="9" spans="2:10" x14ac:dyDescent="0.3">
      <c r="B9" s="96" t="s">
        <v>131</v>
      </c>
      <c r="C9" s="141">
        <v>50000</v>
      </c>
      <c r="D9" s="120"/>
      <c r="E9" s="110"/>
      <c r="F9" s="141">
        <v>50000</v>
      </c>
      <c r="G9" s="121"/>
      <c r="H9" s="112"/>
    </row>
    <row r="10" spans="2:10" x14ac:dyDescent="0.3">
      <c r="B10" s="98" t="s">
        <v>132</v>
      </c>
      <c r="C10" s="143">
        <v>2000</v>
      </c>
      <c r="D10" s="122"/>
      <c r="E10" s="108"/>
      <c r="F10" s="143">
        <v>2000</v>
      </c>
      <c r="G10" s="123"/>
      <c r="H10" s="114"/>
    </row>
    <row r="11" spans="2:10" ht="16.2" thickBot="1" x14ac:dyDescent="0.35">
      <c r="B11" s="124"/>
      <c r="C11" s="147"/>
      <c r="D11" s="125"/>
      <c r="E11" s="126"/>
      <c r="F11" s="147"/>
      <c r="G11" s="127"/>
      <c r="H11" s="128"/>
    </row>
    <row r="12" spans="2:10" ht="16.2" thickBot="1" x14ac:dyDescent="0.35">
      <c r="B12" s="101"/>
      <c r="C12" s="144"/>
      <c r="D12" s="129"/>
      <c r="E12" s="109"/>
      <c r="F12" s="144"/>
      <c r="G12" s="19"/>
      <c r="H12" s="130"/>
      <c r="I12" s="423">
        <f>SUM(F9:F12)</f>
        <v>52000</v>
      </c>
      <c r="J12" s="424"/>
    </row>
    <row r="13" spans="2:10" ht="4.95" customHeight="1" x14ac:dyDescent="0.3">
      <c r="C13" s="7"/>
      <c r="F13" s="7"/>
      <c r="G13" s="7"/>
      <c r="H13" s="9"/>
    </row>
    <row r="14" spans="2:10" x14ac:dyDescent="0.3">
      <c r="B14" s="420" t="s">
        <v>94</v>
      </c>
      <c r="C14" s="420"/>
      <c r="D14" s="420"/>
      <c r="E14" s="420"/>
      <c r="F14" s="420"/>
      <c r="G14" s="420"/>
      <c r="H14" s="420"/>
    </row>
    <row r="15" spans="2:10" ht="4.95" customHeight="1" thickBot="1" x14ac:dyDescent="0.35">
      <c r="C15" s="7"/>
      <c r="F15" s="7"/>
      <c r="G15" s="7"/>
      <c r="H15" s="9"/>
    </row>
    <row r="16" spans="2:10" x14ac:dyDescent="0.3">
      <c r="B16" s="96" t="s">
        <v>133</v>
      </c>
      <c r="C16" s="141">
        <v>25000</v>
      </c>
      <c r="D16" s="107" t="s">
        <v>134</v>
      </c>
      <c r="E16" s="107" t="s">
        <v>135</v>
      </c>
      <c r="F16" s="141">
        <v>20000</v>
      </c>
      <c r="G16" s="117" t="s">
        <v>136</v>
      </c>
      <c r="H16" s="112" t="s">
        <v>98</v>
      </c>
    </row>
    <row r="17" spans="2:10" x14ac:dyDescent="0.3">
      <c r="B17" s="98" t="s">
        <v>137</v>
      </c>
      <c r="C17" s="143">
        <v>10000</v>
      </c>
      <c r="D17" s="172">
        <v>4.4999999999999998E-2</v>
      </c>
      <c r="E17" s="173">
        <v>0.42857142857142855</v>
      </c>
      <c r="F17" s="143">
        <v>9000</v>
      </c>
      <c r="G17" s="118" t="s">
        <v>136</v>
      </c>
      <c r="H17" s="114" t="s">
        <v>98</v>
      </c>
    </row>
    <row r="18" spans="2:10" ht="16.2" thickBot="1" x14ac:dyDescent="0.35">
      <c r="B18" s="98" t="s">
        <v>138</v>
      </c>
      <c r="C18" s="143">
        <v>4000</v>
      </c>
      <c r="D18" s="122"/>
      <c r="E18" s="122"/>
      <c r="F18" s="143">
        <v>0</v>
      </c>
      <c r="G18" s="118" t="s">
        <v>139</v>
      </c>
      <c r="H18" s="114" t="s">
        <v>98</v>
      </c>
    </row>
    <row r="19" spans="2:10" ht="16.2" thickBot="1" x14ac:dyDescent="0.35">
      <c r="B19" s="101"/>
      <c r="C19" s="144"/>
      <c r="D19" s="129"/>
      <c r="E19" s="129"/>
      <c r="F19" s="144"/>
      <c r="G19" s="119"/>
      <c r="H19" s="116"/>
      <c r="I19" s="407">
        <f>SUM(F16:F19)</f>
        <v>29000</v>
      </c>
      <c r="J19" s="361"/>
    </row>
    <row r="20" spans="2:10" ht="4.95" customHeight="1" x14ac:dyDescent="0.3">
      <c r="C20" s="7"/>
      <c r="F20" s="7"/>
      <c r="G20" s="7"/>
      <c r="H20" s="9"/>
    </row>
    <row r="21" spans="2:10" x14ac:dyDescent="0.3">
      <c r="B21" s="420" t="s">
        <v>102</v>
      </c>
      <c r="C21" s="420"/>
      <c r="D21" s="420"/>
      <c r="E21" s="420"/>
      <c r="F21" s="420"/>
      <c r="G21" s="420"/>
      <c r="H21" s="420"/>
    </row>
    <row r="22" spans="2:10" ht="4.95" customHeight="1" thickBot="1" x14ac:dyDescent="0.35">
      <c r="C22" s="7"/>
      <c r="F22" s="7"/>
      <c r="G22" s="7"/>
      <c r="H22" s="9"/>
    </row>
    <row r="23" spans="2:10" x14ac:dyDescent="0.3">
      <c r="B23" s="96"/>
      <c r="C23" s="141"/>
      <c r="D23" s="110"/>
      <c r="E23" s="110"/>
      <c r="F23" s="141"/>
      <c r="G23" s="111"/>
      <c r="H23" s="112"/>
    </row>
    <row r="24" spans="2:10" ht="16.2" thickBot="1" x14ac:dyDescent="0.35">
      <c r="B24" s="98"/>
      <c r="C24" s="143"/>
      <c r="D24" s="108"/>
      <c r="E24" s="108"/>
      <c r="F24" s="143"/>
      <c r="G24" s="113"/>
      <c r="H24" s="114"/>
    </row>
    <row r="25" spans="2:10" ht="16.2" thickBot="1" x14ac:dyDescent="0.35">
      <c r="B25" s="101"/>
      <c r="C25" s="144"/>
      <c r="D25" s="109"/>
      <c r="E25" s="109"/>
      <c r="F25" s="144"/>
      <c r="G25" s="115"/>
      <c r="H25" s="116"/>
      <c r="I25" s="407">
        <f>SUM(F23:F25)</f>
        <v>0</v>
      </c>
      <c r="J25" s="361"/>
    </row>
    <row r="26" spans="2:10" ht="1.95" customHeight="1" x14ac:dyDescent="0.3">
      <c r="C26" s="7"/>
      <c r="F26" s="7"/>
      <c r="G26" s="7"/>
      <c r="H26" s="9"/>
    </row>
    <row r="27" spans="2:10" ht="0.6" customHeight="1" thickBot="1" x14ac:dyDescent="0.35">
      <c r="C27" s="7"/>
      <c r="F27" s="7"/>
      <c r="G27" s="7"/>
      <c r="H27" s="9"/>
    </row>
    <row r="28" spans="2:10" ht="16.2" thickBot="1" x14ac:dyDescent="0.35">
      <c r="C28" s="7"/>
      <c r="F28" s="10" t="s">
        <v>140</v>
      </c>
      <c r="G28" s="354" t="s">
        <v>141</v>
      </c>
      <c r="H28" s="387"/>
      <c r="I28" s="411">
        <f>SUM(I12,I19,I25)</f>
        <v>81000</v>
      </c>
      <c r="J28" s="412"/>
    </row>
    <row r="29" spans="2:10" ht="10.95" customHeight="1" thickBot="1" x14ac:dyDescent="0.35">
      <c r="B29" s="408" t="s">
        <v>51</v>
      </c>
      <c r="C29" s="409"/>
      <c r="D29" s="409"/>
      <c r="E29" s="409"/>
      <c r="F29" s="409"/>
      <c r="G29" s="409"/>
      <c r="H29" s="409"/>
      <c r="I29" s="409"/>
      <c r="J29" s="410"/>
    </row>
    <row r="32" spans="2:10" hidden="1" x14ac:dyDescent="0.3">
      <c r="B32" t="s">
        <v>142</v>
      </c>
    </row>
    <row r="33" spans="2:2" hidden="1" x14ac:dyDescent="0.3">
      <c r="B33" t="s">
        <v>98</v>
      </c>
    </row>
  </sheetData>
  <mergeCells count="11">
    <mergeCell ref="I25:J25"/>
    <mergeCell ref="B29:J29"/>
    <mergeCell ref="I28:J28"/>
    <mergeCell ref="B2:J3"/>
    <mergeCell ref="B7:H7"/>
    <mergeCell ref="B14:H14"/>
    <mergeCell ref="B21:H21"/>
    <mergeCell ref="I5:J5"/>
    <mergeCell ref="I12:J12"/>
    <mergeCell ref="I19:J19"/>
    <mergeCell ref="G28:H28"/>
  </mergeCells>
  <dataValidations count="1">
    <dataValidation type="list" allowBlank="1" showInputMessage="1" showErrorMessage="1" sqref="H9:H12 H16:H19 H23:H25" xr:uid="{2BD8D785-A972-426A-B79F-567FEDCF4D3E}">
      <formula1>$B$32:$B$33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9755-DFDC-1341-AF6D-E2052BE2F527}">
  <dimension ref="B1:G24"/>
  <sheetViews>
    <sheetView showGridLines="0" zoomScale="85" zoomScaleNormal="85" workbookViewId="0">
      <selection activeCell="I14" sqref="I12:I14"/>
    </sheetView>
  </sheetViews>
  <sheetFormatPr baseColWidth="10" defaultColWidth="11" defaultRowHeight="15.6" x14ac:dyDescent="0.3"/>
  <cols>
    <col min="1" max="1" width="5" customWidth="1"/>
    <col min="2" max="2" width="17.19921875" customWidth="1"/>
    <col min="3" max="3" width="19.19921875" customWidth="1"/>
    <col min="4" max="4" width="15.5" customWidth="1"/>
    <col min="7" max="7" width="13" customWidth="1"/>
  </cols>
  <sheetData>
    <row r="1" spans="2:7" ht="4.2" customHeight="1" thickBot="1" x14ac:dyDescent="0.35"/>
    <row r="2" spans="2:7" ht="19.95" customHeight="1" x14ac:dyDescent="0.3">
      <c r="B2" s="340" t="s">
        <v>143</v>
      </c>
      <c r="C2" s="341"/>
      <c r="D2" s="341"/>
      <c r="E2" s="341"/>
      <c r="F2" s="341"/>
      <c r="G2" s="342"/>
    </row>
    <row r="3" spans="2:7" ht="19.95" customHeight="1" thickBot="1" x14ac:dyDescent="0.35">
      <c r="B3" s="343"/>
      <c r="C3" s="344"/>
      <c r="D3" s="344"/>
      <c r="E3" s="344"/>
      <c r="F3" s="344"/>
      <c r="G3" s="345"/>
    </row>
    <row r="4" spans="2:7" ht="4.95" customHeight="1" thickBot="1" x14ac:dyDescent="0.35"/>
    <row r="5" spans="2:7" ht="16.95" customHeight="1" thickBot="1" x14ac:dyDescent="0.35">
      <c r="B5" s="431" t="s">
        <v>144</v>
      </c>
      <c r="C5" s="432"/>
      <c r="D5" s="432"/>
      <c r="E5" s="359"/>
      <c r="F5" s="425">
        <v>1000</v>
      </c>
      <c r="G5" s="426"/>
    </row>
    <row r="6" spans="2:7" ht="16.2" thickBot="1" x14ac:dyDescent="0.35">
      <c r="B6" s="355" t="s">
        <v>145</v>
      </c>
      <c r="C6" s="356"/>
      <c r="D6" s="356"/>
      <c r="E6" s="356"/>
      <c r="F6" s="356"/>
      <c r="G6" s="357"/>
    </row>
    <row r="7" spans="2:7" ht="4.95" customHeight="1" thickBot="1" x14ac:dyDescent="0.35"/>
    <row r="8" spans="2:7" ht="16.2" thickBot="1" x14ac:dyDescent="0.35">
      <c r="B8" s="269" t="s">
        <v>146</v>
      </c>
      <c r="C8" s="270" t="s">
        <v>147</v>
      </c>
      <c r="D8" s="270" t="s">
        <v>148</v>
      </c>
      <c r="E8" s="433" t="s">
        <v>42</v>
      </c>
      <c r="F8" s="433"/>
      <c r="G8" s="434"/>
    </row>
    <row r="9" spans="2:7" ht="6" customHeight="1" thickBot="1" x14ac:dyDescent="0.35"/>
    <row r="10" spans="2:7" ht="66" customHeight="1" x14ac:dyDescent="0.3">
      <c r="B10" s="134" t="s">
        <v>149</v>
      </c>
      <c r="C10" s="131"/>
      <c r="D10" s="239" t="s">
        <v>150</v>
      </c>
      <c r="E10" s="435" t="s">
        <v>151</v>
      </c>
      <c r="F10" s="435"/>
      <c r="G10" s="436"/>
    </row>
    <row r="11" spans="2:7" ht="60" customHeight="1" x14ac:dyDescent="0.3">
      <c r="B11" s="135" t="s">
        <v>152</v>
      </c>
      <c r="C11" s="132"/>
      <c r="D11" s="242" t="s">
        <v>153</v>
      </c>
      <c r="E11" s="427" t="s">
        <v>154</v>
      </c>
      <c r="F11" s="427"/>
      <c r="G11" s="428"/>
    </row>
    <row r="12" spans="2:7" ht="16.2" thickBot="1" x14ac:dyDescent="0.35">
      <c r="B12" s="136"/>
      <c r="C12" s="133"/>
      <c r="D12" s="237"/>
      <c r="E12" s="429"/>
      <c r="F12" s="429"/>
      <c r="G12" s="430"/>
    </row>
    <row r="13" spans="2:7" ht="3" customHeight="1" x14ac:dyDescent="0.3"/>
    <row r="14" spans="2:7" x14ac:dyDescent="0.3">
      <c r="B14" s="362" t="s">
        <v>155</v>
      </c>
      <c r="C14" s="362"/>
      <c r="D14" s="362"/>
      <c r="E14" s="362"/>
      <c r="F14" s="362"/>
      <c r="G14" s="362"/>
    </row>
    <row r="15" spans="2:7" ht="6" customHeight="1" thickBot="1" x14ac:dyDescent="0.35"/>
    <row r="16" spans="2:7" ht="16.2" thickBot="1" x14ac:dyDescent="0.35">
      <c r="B16" s="269" t="s">
        <v>146</v>
      </c>
      <c r="C16" s="270" t="s">
        <v>147</v>
      </c>
      <c r="D16" s="270" t="s">
        <v>148</v>
      </c>
      <c r="E16" s="433" t="s">
        <v>42</v>
      </c>
      <c r="F16" s="433"/>
      <c r="G16" s="434"/>
    </row>
    <row r="17" spans="2:7" ht="6" customHeight="1" thickBot="1" x14ac:dyDescent="0.35"/>
    <row r="18" spans="2:7" x14ac:dyDescent="0.3">
      <c r="B18" s="134"/>
      <c r="C18" s="249"/>
      <c r="D18" s="239"/>
      <c r="E18" s="435"/>
      <c r="F18" s="435"/>
      <c r="G18" s="436"/>
    </row>
    <row r="19" spans="2:7" x14ac:dyDescent="0.3">
      <c r="B19" s="135"/>
      <c r="C19" s="251"/>
      <c r="D19" s="242"/>
      <c r="E19" s="427"/>
      <c r="F19" s="427"/>
      <c r="G19" s="428"/>
    </row>
    <row r="20" spans="2:7" x14ac:dyDescent="0.3">
      <c r="B20" s="135"/>
      <c r="C20" s="251"/>
      <c r="D20" s="242"/>
      <c r="E20" s="427"/>
      <c r="F20" s="427"/>
      <c r="G20" s="428"/>
    </row>
    <row r="21" spans="2:7" x14ac:dyDescent="0.3">
      <c r="B21" s="135"/>
      <c r="C21" s="251"/>
      <c r="D21" s="242"/>
      <c r="E21" s="427"/>
      <c r="F21" s="427"/>
      <c r="G21" s="428"/>
    </row>
    <row r="22" spans="2:7" ht="16.2" thickBot="1" x14ac:dyDescent="0.35">
      <c r="B22" s="136"/>
      <c r="C22" s="253"/>
      <c r="D22" s="237"/>
      <c r="E22" s="429"/>
      <c r="F22" s="429"/>
      <c r="G22" s="430"/>
    </row>
    <row r="23" spans="2:7" ht="3" customHeight="1" thickBot="1" x14ac:dyDescent="0.35"/>
    <row r="24" spans="2:7" ht="12" customHeight="1" thickBot="1" x14ac:dyDescent="0.35">
      <c r="B24" s="408" t="s">
        <v>51</v>
      </c>
      <c r="C24" s="409"/>
      <c r="D24" s="409"/>
      <c r="E24" s="409"/>
      <c r="F24" s="409"/>
      <c r="G24" s="410"/>
    </row>
  </sheetData>
  <mergeCells count="16">
    <mergeCell ref="B24:G24"/>
    <mergeCell ref="E12:G12"/>
    <mergeCell ref="B6:G6"/>
    <mergeCell ref="B14:G14"/>
    <mergeCell ref="E16:G16"/>
    <mergeCell ref="E18:G18"/>
    <mergeCell ref="E19:G19"/>
    <mergeCell ref="E8:G8"/>
    <mergeCell ref="E10:G10"/>
    <mergeCell ref="E11:G11"/>
    <mergeCell ref="F5:G5"/>
    <mergeCell ref="E20:G20"/>
    <mergeCell ref="E21:G21"/>
    <mergeCell ref="E22:G22"/>
    <mergeCell ref="B2:G3"/>
    <mergeCell ref="B5:E5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BCB3-AF2B-AB4C-92A5-A250A0F880E9}">
  <dimension ref="B3:P23"/>
  <sheetViews>
    <sheetView showGridLines="0" zoomScale="85" zoomScaleNormal="85" workbookViewId="0">
      <selection activeCell="F11" sqref="F11:H23"/>
    </sheetView>
  </sheetViews>
  <sheetFormatPr baseColWidth="10" defaultColWidth="11" defaultRowHeight="15.6" x14ac:dyDescent="0.3"/>
  <cols>
    <col min="4" max="4" width="10.69921875" customWidth="1"/>
    <col min="5" max="5" width="2.19921875" customWidth="1"/>
    <col min="8" max="8" width="10.19921875" customWidth="1"/>
    <col min="9" max="9" width="2.19921875" customWidth="1"/>
    <col min="12" max="12" width="11.69921875" customWidth="1"/>
    <col min="13" max="13" width="2.19921875" customWidth="1"/>
    <col min="15" max="15" width="19.5" customWidth="1"/>
  </cols>
  <sheetData>
    <row r="3" spans="2:16" ht="9.6" customHeight="1" thickBot="1" x14ac:dyDescent="0.35"/>
    <row r="4" spans="2:16" ht="21" customHeight="1" x14ac:dyDescent="0.3">
      <c r="B4" s="462" t="s">
        <v>156</v>
      </c>
      <c r="C4" s="463"/>
      <c r="D4" s="463"/>
      <c r="E4" s="463"/>
      <c r="F4" s="463"/>
      <c r="G4" s="463"/>
      <c r="H4" s="463"/>
      <c r="I4" s="463"/>
      <c r="J4" s="463"/>
      <c r="K4" s="463"/>
      <c r="L4" s="463"/>
      <c r="M4" s="463"/>
      <c r="N4" s="463"/>
      <c r="O4" s="464"/>
    </row>
    <row r="5" spans="2:16" ht="16.2" thickBot="1" x14ac:dyDescent="0.35">
      <c r="B5" s="465"/>
      <c r="C5" s="466"/>
      <c r="D5" s="466"/>
      <c r="E5" s="466"/>
      <c r="F5" s="466"/>
      <c r="G5" s="466"/>
      <c r="H5" s="466"/>
      <c r="I5" s="466"/>
      <c r="J5" s="466"/>
      <c r="K5" s="466"/>
      <c r="L5" s="466"/>
      <c r="M5" s="466"/>
      <c r="N5" s="466"/>
      <c r="O5" s="467"/>
    </row>
    <row r="8" spans="2:16" ht="16.2" thickBot="1" x14ac:dyDescent="0.35"/>
    <row r="9" spans="2:16" x14ac:dyDescent="0.3">
      <c r="B9" s="335" t="s">
        <v>157</v>
      </c>
      <c r="C9" s="386"/>
      <c r="D9" s="336"/>
      <c r="F9" s="468" t="s">
        <v>158</v>
      </c>
      <c r="G9" s="469"/>
      <c r="H9" s="470"/>
      <c r="J9" s="468" t="s">
        <v>159</v>
      </c>
      <c r="K9" s="469"/>
      <c r="L9" s="470"/>
      <c r="N9" s="335" t="s">
        <v>160</v>
      </c>
      <c r="O9" s="336"/>
    </row>
    <row r="10" spans="2:16" ht="16.2" thickBot="1" x14ac:dyDescent="0.35">
      <c r="B10" s="474"/>
      <c r="C10" s="362"/>
      <c r="D10" s="475"/>
      <c r="F10" s="471"/>
      <c r="G10" s="472"/>
      <c r="H10" s="473"/>
      <c r="J10" s="471"/>
      <c r="K10" s="472"/>
      <c r="L10" s="473"/>
      <c r="N10" s="353"/>
      <c r="O10" s="387"/>
    </row>
    <row r="11" spans="2:16" ht="15" customHeight="1" x14ac:dyDescent="0.3">
      <c r="B11" s="437" t="s">
        <v>161</v>
      </c>
      <c r="C11" s="438"/>
      <c r="D11" s="439"/>
      <c r="F11" s="443" t="s">
        <v>162</v>
      </c>
      <c r="G11" s="444"/>
      <c r="H11" s="445"/>
      <c r="J11" s="452" t="s">
        <v>163</v>
      </c>
      <c r="K11" s="453"/>
      <c r="L11" s="454"/>
      <c r="N11" s="443" t="s">
        <v>164</v>
      </c>
      <c r="O11" s="461"/>
    </row>
    <row r="12" spans="2:16" x14ac:dyDescent="0.3">
      <c r="B12" s="437"/>
      <c r="C12" s="438"/>
      <c r="D12" s="439"/>
      <c r="F12" s="446"/>
      <c r="G12" s="447"/>
      <c r="H12" s="448"/>
      <c r="J12" s="455"/>
      <c r="K12" s="456"/>
      <c r="L12" s="457"/>
      <c r="N12" s="437"/>
      <c r="O12" s="439"/>
    </row>
    <row r="13" spans="2:16" x14ac:dyDescent="0.3">
      <c r="B13" s="437"/>
      <c r="C13" s="438"/>
      <c r="D13" s="439"/>
      <c r="F13" s="446"/>
      <c r="G13" s="447"/>
      <c r="H13" s="448"/>
      <c r="J13" s="455"/>
      <c r="K13" s="456"/>
      <c r="L13" s="457"/>
      <c r="N13" s="437"/>
      <c r="O13" s="439"/>
    </row>
    <row r="14" spans="2:16" x14ac:dyDescent="0.3">
      <c r="B14" s="437"/>
      <c r="C14" s="438"/>
      <c r="D14" s="439"/>
      <c r="F14" s="446"/>
      <c r="G14" s="447"/>
      <c r="H14" s="448"/>
      <c r="J14" s="455"/>
      <c r="K14" s="456"/>
      <c r="L14" s="457"/>
      <c r="N14" s="437"/>
      <c r="O14" s="439"/>
      <c r="P14" s="6"/>
    </row>
    <row r="15" spans="2:16" x14ac:dyDescent="0.3">
      <c r="B15" s="437"/>
      <c r="C15" s="438"/>
      <c r="D15" s="439"/>
      <c r="F15" s="446"/>
      <c r="G15" s="447"/>
      <c r="H15" s="448"/>
      <c r="J15" s="455"/>
      <c r="K15" s="456"/>
      <c r="L15" s="457"/>
      <c r="N15" s="437"/>
      <c r="O15" s="439"/>
      <c r="P15" s="6"/>
    </row>
    <row r="16" spans="2:16" x14ac:dyDescent="0.3">
      <c r="B16" s="437"/>
      <c r="C16" s="438"/>
      <c r="D16" s="439"/>
      <c r="F16" s="446"/>
      <c r="G16" s="447"/>
      <c r="H16" s="448"/>
      <c r="J16" s="455"/>
      <c r="K16" s="456"/>
      <c r="L16" s="457"/>
      <c r="N16" s="437"/>
      <c r="O16" s="439"/>
      <c r="P16" s="6"/>
    </row>
    <row r="17" spans="2:16" x14ac:dyDescent="0.3">
      <c r="B17" s="437"/>
      <c r="C17" s="438"/>
      <c r="D17" s="439"/>
      <c r="F17" s="446"/>
      <c r="G17" s="447"/>
      <c r="H17" s="448"/>
      <c r="J17" s="455"/>
      <c r="K17" s="456"/>
      <c r="L17" s="457"/>
      <c r="N17" s="437"/>
      <c r="O17" s="439"/>
      <c r="P17" s="6"/>
    </row>
    <row r="18" spans="2:16" ht="16.95" customHeight="1" x14ac:dyDescent="0.3">
      <c r="B18" s="437"/>
      <c r="C18" s="438"/>
      <c r="D18" s="439"/>
      <c r="F18" s="446"/>
      <c r="G18" s="447"/>
      <c r="H18" s="448"/>
      <c r="J18" s="455"/>
      <c r="K18" s="456"/>
      <c r="L18" s="457"/>
      <c r="N18" s="437"/>
      <c r="O18" s="439"/>
      <c r="P18" s="6"/>
    </row>
    <row r="19" spans="2:16" ht="15.45" customHeight="1" x14ac:dyDescent="0.3">
      <c r="B19" s="437"/>
      <c r="C19" s="438"/>
      <c r="D19" s="439"/>
      <c r="F19" s="446"/>
      <c r="G19" s="447"/>
      <c r="H19" s="448"/>
      <c r="J19" s="455"/>
      <c r="K19" s="456"/>
      <c r="L19" s="457"/>
      <c r="N19" s="437"/>
      <c r="O19" s="439"/>
    </row>
    <row r="20" spans="2:16" x14ac:dyDescent="0.3">
      <c r="B20" s="437"/>
      <c r="C20" s="438"/>
      <c r="D20" s="439"/>
      <c r="F20" s="446"/>
      <c r="G20" s="447"/>
      <c r="H20" s="448"/>
      <c r="J20" s="455"/>
      <c r="K20" s="456"/>
      <c r="L20" s="457"/>
      <c r="N20" s="437"/>
      <c r="O20" s="439"/>
    </row>
    <row r="21" spans="2:16" x14ac:dyDescent="0.3">
      <c r="B21" s="437"/>
      <c r="C21" s="438"/>
      <c r="D21" s="439"/>
      <c r="F21" s="446"/>
      <c r="G21" s="447"/>
      <c r="H21" s="448"/>
      <c r="J21" s="455"/>
      <c r="K21" s="456"/>
      <c r="L21" s="457"/>
      <c r="N21" s="437"/>
      <c r="O21" s="439"/>
    </row>
    <row r="22" spans="2:16" x14ac:dyDescent="0.3">
      <c r="B22" s="437"/>
      <c r="C22" s="438"/>
      <c r="D22" s="439"/>
      <c r="F22" s="446"/>
      <c r="G22" s="447"/>
      <c r="H22" s="448"/>
      <c r="J22" s="455"/>
      <c r="K22" s="456"/>
      <c r="L22" s="457"/>
      <c r="N22" s="437"/>
      <c r="O22" s="439"/>
    </row>
    <row r="23" spans="2:16" ht="16.2" thickBot="1" x14ac:dyDescent="0.35">
      <c r="B23" s="440"/>
      <c r="C23" s="441"/>
      <c r="D23" s="442"/>
      <c r="F23" s="449"/>
      <c r="G23" s="450"/>
      <c r="H23" s="451"/>
      <c r="J23" s="458"/>
      <c r="K23" s="459"/>
      <c r="L23" s="460"/>
      <c r="N23" s="440"/>
      <c r="O23" s="442"/>
    </row>
  </sheetData>
  <sheetProtection formatColumns="0"/>
  <mergeCells count="9">
    <mergeCell ref="B11:D23"/>
    <mergeCell ref="F11:H23"/>
    <mergeCell ref="J11:L23"/>
    <mergeCell ref="N11:O23"/>
    <mergeCell ref="B4:O5"/>
    <mergeCell ref="N9:O10"/>
    <mergeCell ref="J9:L10"/>
    <mergeCell ref="F9:H10"/>
    <mergeCell ref="B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Tutoriel</vt:lpstr>
      <vt:lpstr>Présentation</vt:lpstr>
      <vt:lpstr>Etat Civil</vt:lpstr>
      <vt:lpstr>Situation Patrimoniale</vt:lpstr>
      <vt:lpstr>Prévision retraite</vt:lpstr>
      <vt:lpstr>Patrimoine social</vt:lpstr>
      <vt:lpstr>Patrimoine financiers</vt:lpstr>
      <vt:lpstr>Principaux objectifs</vt:lpstr>
      <vt:lpstr>Axes de travail</vt:lpstr>
      <vt:lpstr>Les points forts</vt:lpstr>
      <vt:lpstr>Calcul IR 2</vt:lpstr>
      <vt:lpstr>Impôt 2021 revenus 2020</vt:lpstr>
      <vt:lpstr>Calcul IR Bis Retraite</vt:lpstr>
      <vt:lpstr>Impôt Retraite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Morel</dc:creator>
  <cp:keywords/>
  <dc:description/>
  <cp:lastModifiedBy>Ecaterina TROCIN</cp:lastModifiedBy>
  <cp:revision/>
  <dcterms:created xsi:type="dcterms:W3CDTF">2019-07-31T13:12:48Z</dcterms:created>
  <dcterms:modified xsi:type="dcterms:W3CDTF">2024-09-26T17:16:18Z</dcterms:modified>
  <cp:category/>
  <cp:contentStatus/>
</cp:coreProperties>
</file>