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2" documentId="8_{B021DE13-0805-4A50-9E0E-314C5113836C}" xr6:coauthVersionLast="47" xr6:coauthVersionMax="47" xr10:uidLastSave="{9D56B0AA-A3E2-403B-B259-21159FCBDA8B}"/>
  <bookViews>
    <workbookView xWindow="-108" yWindow="-108" windowWidth="23256" windowHeight="12576" tabRatio="912" firstSheet="1" activeTab="2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r:id="rId5"/>
    <sheet name="Patrimoine social" sheetId="18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alcul IR 2" sheetId="13" state="hidden" r:id="rId11"/>
    <sheet name="Impôt 2021 revenus 2020" sheetId="14" state="hidden" r:id="rId12"/>
    <sheet name="Calcul IR Bis Retraite" sheetId="15" state="hidden" r:id="rId13"/>
    <sheet name="Impôt Retraite" sheetId="16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4" l="1"/>
  <c r="E8" i="10" l="1"/>
  <c r="D51" i="4" l="1"/>
  <c r="E15" i="10"/>
  <c r="E16" i="10"/>
  <c r="E17" i="10"/>
  <c r="E14" i="10"/>
  <c r="F22" i="10" l="1"/>
  <c r="I29" i="4" l="1"/>
  <c r="F32" i="4"/>
  <c r="I30" i="4"/>
  <c r="H14" i="1"/>
  <c r="H9" i="1"/>
  <c r="I15" i="4"/>
  <c r="C4" i="14" l="1"/>
  <c r="C3" i="14" l="1"/>
  <c r="O30" i="13" s="1"/>
  <c r="E8" i="13" l="1"/>
  <c r="E7" i="13" l="1"/>
  <c r="G26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8" i="1"/>
  <c r="H13" i="1"/>
  <c r="J3" i="15" l="1"/>
  <c r="D22" i="10"/>
  <c r="J3" i="13"/>
  <c r="I10" i="13" s="1"/>
  <c r="F36" i="13"/>
  <c r="F37" i="13"/>
  <c r="C8" i="14" l="1"/>
  <c r="I33" i="13"/>
  <c r="G24" i="1" l="1"/>
  <c r="H19" i="1" l="1"/>
  <c r="H20" i="1" s="1"/>
  <c r="D32" i="4" s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F27" i="13"/>
  <c r="F28" i="13"/>
  <c r="C12" i="14" l="1"/>
  <c r="I40" i="13"/>
  <c r="I41" i="13" s="1"/>
  <c r="H25" i="1"/>
  <c r="I21" i="13"/>
  <c r="C13" i="14" s="1"/>
  <c r="I22" i="13" l="1"/>
  <c r="C14" i="14" l="1"/>
  <c r="D14" i="14" s="1"/>
  <c r="G25" i="1" l="1"/>
  <c r="C30" i="10" s="1"/>
  <c r="I10" i="15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4" i="16" s="1"/>
  <c r="C13" i="16"/>
  <c r="I22" i="15"/>
  <c r="D14" i="16" l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<sst xmlns="http://schemas.openxmlformats.org/spreadsheetml/2006/main" count="343" uniqueCount="231">
  <si>
    <t>AUDIT PATRIMONIAL</t>
  </si>
  <si>
    <t>13/04/21</t>
  </si>
  <si>
    <t xml:space="preserve">GESTION PRIVÉ </t>
  </si>
  <si>
    <t>&amp;</t>
  </si>
  <si>
    <t>PERSONAL FINANCE</t>
  </si>
  <si>
    <t>ETAT CIVIL</t>
  </si>
  <si>
    <t>RÉMUNÉRATION</t>
  </si>
  <si>
    <t>M.</t>
  </si>
  <si>
    <t>BOUGNOUNOU Malick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</si>
  <si>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</si>
  <si>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</si>
  <si>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</si>
  <si>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</si>
  <si>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</si>
  <si>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</si>
  <si>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</si>
  <si>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société</t>
  </si>
  <si>
    <t>Dividendes</t>
  </si>
  <si>
    <t>Type de contrat/Ancienneté</t>
  </si>
  <si>
    <t>CDI / 3 ans 1/2</t>
  </si>
  <si>
    <t>BNC</t>
  </si>
  <si>
    <t>Mme.</t>
  </si>
  <si>
    <t>BOUGNOUNOU Laurianne</t>
  </si>
  <si>
    <t>RH / Société Générale</t>
  </si>
  <si>
    <t>CDI / 5 ans</t>
  </si>
  <si>
    <t xml:space="preserve">Situation maritale </t>
  </si>
  <si>
    <t>Marié-Pacsé</t>
  </si>
  <si>
    <t>Autres revenus</t>
  </si>
  <si>
    <t>Loyers</t>
  </si>
  <si>
    <t>B/D foncier</t>
  </si>
  <si>
    <t xml:space="preserve">Régime matrimonial </t>
  </si>
  <si>
    <t>Séparation de biens</t>
  </si>
  <si>
    <t>Situation particulière</t>
  </si>
  <si>
    <t>LMNP</t>
  </si>
  <si>
    <t>Garde</t>
  </si>
  <si>
    <t>REVENUS NETS |</t>
  </si>
  <si>
    <t>ENFANTS</t>
  </si>
  <si>
    <t>IMPOSITION</t>
  </si>
  <si>
    <t>Prénoms</t>
  </si>
  <si>
    <t>Age</t>
  </si>
  <si>
    <t>Commentaire</t>
  </si>
  <si>
    <t>RIG</t>
  </si>
  <si>
    <t>TMI</t>
  </si>
  <si>
    <t>Kaleeya</t>
  </si>
  <si>
    <t>Impôt sur le revenu</t>
  </si>
  <si>
    <t>Evan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</si>
  <si>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</si>
  <si>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</si>
  <si>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</si>
  <si>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</si>
  <si>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</si>
  <si>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</si>
  <si>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</si>
  <si>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</si>
  <si>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</si>
  <si>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</si>
  <si>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</si>
  <si>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</si>
  <si>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avec Sté d'acquêt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</si>
  <si>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</si>
  <si>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</si>
  <si>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</si>
  <si>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</si>
  <si>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</si>
  <si>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</si>
  <si>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</si>
  <si>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</si>
  <si>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</si>
  <si>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</si>
  <si>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Mensualité ou Loyer payé</t>
  </si>
  <si>
    <t>Ozoir-la-Ferrière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</si>
  <si>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</si>
  <si>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</si>
  <si>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</si>
  <si>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</si>
  <si>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</si>
  <si>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</si>
  <si>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</si>
  <si>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AUTRE EMPRUNTS</t>
  </si>
  <si>
    <t>Destination</t>
  </si>
  <si>
    <t>Montant</t>
  </si>
  <si>
    <t>Taux</t>
  </si>
  <si>
    <t>Leasing</t>
  </si>
  <si>
    <t>Crédit Conso</t>
  </si>
  <si>
    <t>PROJETS</t>
  </si>
  <si>
    <t>Type</t>
  </si>
  <si>
    <t>Valeur d'achat</t>
  </si>
  <si>
    <t>TAUX D'ENDETTEMENT ACTUEL</t>
  </si>
  <si>
    <t>PATRIMOINE FINANCIER</t>
  </si>
  <si>
    <t>NOM</t>
  </si>
  <si>
    <t>Rentabilité</t>
  </si>
  <si>
    <t>Risque (1-5)</t>
  </si>
  <si>
    <t>Disponible</t>
  </si>
  <si>
    <t>Gestionnaire</t>
  </si>
  <si>
    <t>Gestion</t>
  </si>
  <si>
    <t>Objectif</t>
  </si>
  <si>
    <t>Liquidités</t>
  </si>
  <si>
    <t>Placements financiers</t>
  </si>
  <si>
    <t>Autres</t>
  </si>
  <si>
    <t>CAPACITE INVESTISSEMENT</t>
  </si>
  <si>
    <t>PREVISION A LA RETRAITE</t>
  </si>
  <si>
    <t>Charges</t>
  </si>
  <si>
    <t>Loyer payé</t>
  </si>
  <si>
    <t>Nantes</t>
  </si>
  <si>
    <t>Bien</t>
  </si>
  <si>
    <t>Loyer perçu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</si>
  <si>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</si>
  <si>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</si>
  <si>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</si>
  <si>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</si>
  <si>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</si>
  <si>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</si>
  <si>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</si>
  <si>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</si>
  <si>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</si>
  <si>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</si>
  <si>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</si>
  <si>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</si>
  <si>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</si>
  <si>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</si>
  <si>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</si>
  <si>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</si>
  <si>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</si>
  <si>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</si>
  <si>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</si>
  <si>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</si>
  <si>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Compte Courant</t>
  </si>
  <si>
    <t>Livret A</t>
  </si>
  <si>
    <t>Assurance-vie</t>
  </si>
  <si>
    <t>Variable</t>
  </si>
  <si>
    <t>?</t>
  </si>
  <si>
    <t>UFI France</t>
  </si>
  <si>
    <t>Sous Mandat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</si>
  <si>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</si>
  <si>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</si>
  <si>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</si>
  <si>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</si>
  <si>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</si>
  <si>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</si>
  <si>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</si>
  <si>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</si>
  <si>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</si>
  <si>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</si>
  <si>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</si>
  <si>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</si>
  <si>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Dynamiser</t>
  </si>
  <si>
    <t>LT</t>
  </si>
  <si>
    <t>Dynamiser l'épargne mensuelle afin de préparer les prochaines échéances (études des enfants, etc.)</t>
  </si>
  <si>
    <t>Réduire</t>
  </si>
  <si>
    <t>CT</t>
  </si>
  <si>
    <t>Réduire l'imposition sur le court terme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</si>
  <si>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</si>
  <si>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</si>
  <si>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</si>
  <si>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</si>
  <si>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</si>
  <si>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</si>
  <si>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</si>
  <si>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</si>
  <si>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</si>
  <si>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</si>
  <si>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</si>
  <si>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</si>
  <si>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Nécessité d'augmenter rapidement la rentabilité des placements actuels</t>
  </si>
  <si>
    <t xml:space="preserve">Taux d'endettement non utilisé en totalité </t>
  </si>
  <si>
    <t>Capacité d'épargne sur plus de dix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</si>
  <si>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</si>
  <si>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</si>
  <si>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</si>
  <si>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</si>
  <si>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</si>
  <si>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</si>
  <si>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</si>
  <si>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</si>
  <si>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</si>
  <si>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</si>
  <si>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</si>
  <si>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</si>
  <si>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</si>
  <si>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</si>
  <si>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</si>
  <si>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</si>
  <si>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</si>
  <si>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</si>
  <si>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</si>
  <si>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</si>
  <si>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</si>
  <si>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</si>
  <si>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</si>
  <si>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</si>
  <si>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</si>
  <si>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</si>
  <si>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</si>
  <si>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</si>
  <si>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</si>
  <si>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</si>
  <si>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</si>
  <si>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</si>
  <si>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</si>
  <si>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</si>
  <si>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</si>
  <si>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</si>
  <si>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</si>
  <si>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</si>
  <si>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</si>
  <si>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</si>
  <si>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</si>
  <si>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</si>
  <si>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</si>
  <si>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</si>
  <si>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</si>
  <si>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</si>
  <si>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</si>
  <si>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</si>
  <si>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</si>
  <si>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</si>
  <si>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</si>
  <si>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</si>
  <si>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</si>
  <si>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</si>
  <si>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</si>
  <si>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</si>
  <si>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</si>
  <si>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</si>
  <si>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</si>
  <si>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</si>
  <si>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consultant informatique Société Generale</t>
  </si>
  <si>
    <t>actions SG</t>
  </si>
  <si>
    <t>PER SL</t>
  </si>
  <si>
    <t>43 ans</t>
  </si>
  <si>
    <t>38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</si>
</sst>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526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30" xfId="1" applyFont="1" applyFill="1" applyBorder="1" applyAlignment="1">
      <alignment horizontal="center"/>
    </xf>
    <xf numFmtId="44" fontId="3" fillId="2" borderId="29" xfId="1" applyFont="1" applyFill="1" applyBorder="1" applyAlignment="1">
      <alignment horizontal="center"/>
    </xf>
    <xf numFmtId="44" fontId="3" fillId="2" borderId="31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7" borderId="12" xfId="1" applyFont="1" applyFill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2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3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3" fillId="11" borderId="44" xfId="5" applyFont="1" applyFill="1" applyBorder="1" applyAlignment="1" applyProtection="1">
      <alignment horizontal="center" vertical="center"/>
      <protection locked="0" hidden="1"/>
    </xf>
    <xf numFmtId="0" fontId="23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0" fontId="27" fillId="10" borderId="17" xfId="5" applyFont="1" applyFill="1" applyBorder="1" applyAlignment="1" applyProtection="1">
      <alignment horizontal="left" vertical="center"/>
      <protection hidden="1"/>
    </xf>
    <xf numFmtId="0" fontId="27" fillId="10" borderId="0" xfId="5" applyFont="1" applyFill="1" applyAlignment="1" applyProtection="1">
      <alignment horizontal="left" vertical="center"/>
      <protection hidden="1"/>
    </xf>
    <xf numFmtId="164" fontId="27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5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6" fillId="6" borderId="14" xfId="3" applyFont="1" applyFill="1" applyBorder="1" applyProtection="1">
      <protection hidden="1"/>
    </xf>
    <xf numFmtId="0" fontId="16" fillId="6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5" fontId="11" fillId="0" borderId="0" xfId="1" applyNumberFormat="1" applyFont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6" fillId="13" borderId="1" xfId="4" applyFont="1" applyFill="1" applyBorder="1" applyAlignment="1" applyProtection="1">
      <alignment horizontal="center" vertical="center"/>
      <protection hidden="1"/>
    </xf>
    <xf numFmtId="9" fontId="16" fillId="13" borderId="12" xfId="4" applyFont="1" applyFill="1" applyBorder="1" applyAlignment="1" applyProtection="1">
      <alignment horizontal="center" vertical="center"/>
      <protection hidden="1"/>
    </xf>
    <xf numFmtId="0" fontId="16" fillId="12" borderId="32" xfId="3" applyFont="1" applyFill="1" applyBorder="1" applyAlignment="1" applyProtection="1">
      <alignment horizontal="center"/>
      <protection hidden="1"/>
    </xf>
    <xf numFmtId="0" fontId="16" fillId="12" borderId="35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6" fillId="13" borderId="7" xfId="4" applyFont="1" applyFill="1" applyBorder="1" applyAlignment="1" applyProtection="1">
      <alignment horizontal="center" vertical="center"/>
      <protection hidden="1"/>
    </xf>
    <xf numFmtId="0" fontId="16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8" borderId="41" xfId="3" applyFont="1" applyFill="1" applyBorder="1" applyAlignment="1" applyProtection="1">
      <alignment horizontal="center" vertical="center"/>
      <protection hidden="1"/>
    </xf>
    <xf numFmtId="0" fontId="16" fillId="8" borderId="46" xfId="3" applyFont="1" applyFill="1" applyBorder="1" applyAlignment="1" applyProtection="1">
      <alignment horizontal="center" vertical="center"/>
      <protection hidden="1"/>
    </xf>
    <xf numFmtId="165" fontId="11" fillId="14" borderId="8" xfId="1" applyNumberFormat="1" applyFont="1" applyFill="1" applyBorder="1" applyProtection="1">
      <protection hidden="1"/>
    </xf>
    <xf numFmtId="165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5" fontId="11" fillId="14" borderId="13" xfId="1" applyNumberFormat="1" applyFont="1" applyFill="1" applyBorder="1" applyProtection="1">
      <protection hidden="1"/>
    </xf>
    <xf numFmtId="0" fontId="29" fillId="8" borderId="6" xfId="3" applyFont="1" applyFill="1" applyBorder="1" applyAlignment="1" applyProtection="1">
      <alignment horizontal="center" vertical="center"/>
      <protection hidden="1"/>
    </xf>
    <xf numFmtId="0" fontId="29" fillId="8" borderId="9" xfId="3" applyFont="1" applyFill="1" applyBorder="1" applyAlignment="1" applyProtection="1">
      <alignment horizontal="center" vertical="center"/>
      <protection hidden="1"/>
    </xf>
    <xf numFmtId="0" fontId="29" fillId="8" borderId="11" xfId="3" applyFont="1" applyFill="1" applyBorder="1" applyAlignment="1" applyProtection="1">
      <alignment horizontal="center" vertical="center"/>
      <protection hidden="1"/>
    </xf>
    <xf numFmtId="0" fontId="29" fillId="8" borderId="6" xfId="3" applyFont="1" applyFill="1" applyBorder="1" applyAlignment="1" applyProtection="1">
      <alignment horizontal="center"/>
      <protection hidden="1"/>
    </xf>
    <xf numFmtId="0" fontId="29" fillId="8" borderId="9" xfId="3" applyFont="1" applyFill="1" applyBorder="1" applyAlignment="1" applyProtection="1">
      <alignment horizontal="center"/>
      <protection hidden="1"/>
    </xf>
    <xf numFmtId="0" fontId="29" fillId="8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7" xfId="0" applyFill="1" applyBorder="1" applyProtection="1">
      <protection locked="0"/>
    </xf>
    <xf numFmtId="0" fontId="0" fillId="6" borderId="33" xfId="0" applyFill="1" applyBorder="1" applyAlignment="1" applyProtection="1">
      <alignment horizontal="right"/>
      <protection locked="0"/>
    </xf>
    <xf numFmtId="0" fontId="0" fillId="6" borderId="33" xfId="0" applyFill="1" applyBorder="1" applyProtection="1">
      <protection locked="0"/>
    </xf>
    <xf numFmtId="44" fontId="0" fillId="6" borderId="38" xfId="1" applyFont="1" applyFill="1" applyBorder="1" applyProtection="1">
      <protection locked="0"/>
    </xf>
    <xf numFmtId="44" fontId="0" fillId="6" borderId="39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5" fontId="27" fillId="10" borderId="0" xfId="1" applyNumberFormat="1" applyFont="1" applyFill="1" applyAlignment="1" applyProtection="1">
      <alignment horizontal="center" vertical="center"/>
      <protection hidden="1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4" fontId="27" fillId="10" borderId="0" xfId="1" applyNumberFormat="1" applyFont="1" applyFill="1" applyAlignment="1" applyProtection="1">
      <alignment horizontal="center" vertical="center"/>
      <protection hidden="1"/>
    </xf>
    <xf numFmtId="165" fontId="11" fillId="0" borderId="0" xfId="3" applyNumberFormat="1" applyFont="1" applyProtection="1"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7" xfId="1" applyNumberFormat="1" applyFont="1" applyFill="1" applyBorder="1" applyProtection="1"/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4" fillId="6" borderId="10" xfId="1" applyNumberFormat="1" applyFont="1" applyFill="1" applyBorder="1" applyAlignment="1" applyProtection="1">
      <protection locked="0"/>
    </xf>
    <xf numFmtId="165" fontId="0" fillId="6" borderId="33" xfId="1" applyNumberFormat="1" applyFont="1" applyFill="1" applyBorder="1" applyProtection="1">
      <protection locked="0"/>
    </xf>
    <xf numFmtId="165" fontId="0" fillId="6" borderId="7" xfId="1" applyNumberFormat="1" applyFont="1" applyFill="1" applyBorder="1" applyAlignment="1" applyProtection="1">
      <alignment horizontal="right"/>
      <protection locked="0"/>
    </xf>
    <xf numFmtId="9" fontId="4" fillId="9" borderId="17" xfId="2" applyFont="1" applyFill="1" applyBorder="1" applyAlignment="1" applyProtection="1">
      <alignment vertical="center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3" fillId="9" borderId="4" xfId="0" applyFont="1" applyFill="1" applyBorder="1"/>
    <xf numFmtId="0" fontId="0" fillId="9" borderId="4" xfId="0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left"/>
    </xf>
    <xf numFmtId="164" fontId="30" fillId="9" borderId="4" xfId="1" applyNumberFormat="1" applyFont="1" applyFill="1" applyBorder="1" applyAlignment="1">
      <alignment horizontal="center" vertical="center"/>
    </xf>
    <xf numFmtId="0" fontId="0" fillId="9" borderId="15" xfId="0" applyFill="1" applyBorder="1" applyAlignment="1" applyProtection="1">
      <alignment horizontal="left"/>
      <protection locked="0"/>
    </xf>
    <xf numFmtId="165" fontId="23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164" fontId="32" fillId="4" borderId="5" xfId="1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right" vertical="center"/>
    </xf>
    <xf numFmtId="165" fontId="0" fillId="6" borderId="39" xfId="1" applyNumberFormat="1" applyFont="1" applyFill="1" applyBorder="1" applyProtection="1">
      <protection locked="0"/>
    </xf>
    <xf numFmtId="0" fontId="4" fillId="9" borderId="15" xfId="0" applyFont="1" applyFill="1" applyBorder="1" applyAlignment="1">
      <alignment horizontal="right" vertical="center"/>
    </xf>
    <xf numFmtId="0" fontId="0" fillId="9" borderId="15" xfId="0" applyFill="1" applyBorder="1" applyProtection="1">
      <protection locked="0"/>
    </xf>
    <xf numFmtId="164" fontId="0" fillId="6" borderId="7" xfId="1" applyNumberFormat="1" applyFont="1" applyFill="1" applyBorder="1" applyAlignment="1" applyProtection="1">
      <alignment horizontal="right"/>
      <protection locked="0"/>
    </xf>
    <xf numFmtId="164" fontId="0" fillId="6" borderId="1" xfId="1" applyNumberFormat="1" applyFont="1" applyFill="1" applyBorder="1" applyProtection="1">
      <protection locked="0"/>
    </xf>
    <xf numFmtId="164" fontId="0" fillId="6" borderId="12" xfId="1" applyNumberFormat="1" applyFont="1" applyFill="1" applyBorder="1" applyProtection="1">
      <protection locked="0"/>
    </xf>
    <xf numFmtId="164" fontId="0" fillId="6" borderId="7" xfId="0" applyNumberFormat="1" applyFill="1" applyBorder="1" applyAlignment="1" applyProtection="1">
      <alignment horizontal="right"/>
      <protection locked="0"/>
    </xf>
    <xf numFmtId="164" fontId="0" fillId="6" borderId="1" xfId="0" applyNumberFormat="1" applyFill="1" applyBorder="1" applyProtection="1">
      <protection locked="0"/>
    </xf>
    <xf numFmtId="164" fontId="0" fillId="6" borderId="12" xfId="0" applyNumberFormat="1" applyFill="1" applyBorder="1" applyProtection="1">
      <protection locked="0"/>
    </xf>
    <xf numFmtId="0" fontId="3" fillId="4" borderId="47" xfId="0" applyFont="1" applyFill="1" applyBorder="1" applyAlignment="1">
      <alignment horizontal="center" vertical="center"/>
    </xf>
    <xf numFmtId="0" fontId="33" fillId="4" borderId="48" xfId="0" applyFont="1" applyFill="1" applyBorder="1" applyAlignment="1" applyProtection="1">
      <alignment horizontal="center" vertical="center"/>
      <protection locked="0"/>
    </xf>
    <xf numFmtId="9" fontId="34" fillId="4" borderId="31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6" xfId="0" applyFont="1" applyBorder="1"/>
    <xf numFmtId="0" fontId="4" fillId="0" borderId="9" xfId="0" applyFont="1" applyBorder="1"/>
    <xf numFmtId="165" fontId="0" fillId="6" borderId="13" xfId="1" applyNumberFormat="1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9" borderId="0" xfId="2" applyNumberFormat="1" applyFont="1" applyFill="1" applyBorder="1" applyProtection="1"/>
    <xf numFmtId="164" fontId="0" fillId="6" borderId="1" xfId="2" applyNumberFormat="1" applyFont="1" applyFill="1" applyBorder="1" applyProtection="1">
      <protection locked="0"/>
    </xf>
    <xf numFmtId="164" fontId="0" fillId="6" borderId="7" xfId="1" applyNumberFormat="1" applyFont="1" applyFill="1" applyBorder="1" applyProtection="1">
      <protection locked="0"/>
    </xf>
    <xf numFmtId="9" fontId="3" fillId="4" borderId="0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5" fontId="0" fillId="6" borderId="55" xfId="1" applyNumberFormat="1" applyFont="1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164" fontId="0" fillId="6" borderId="55" xfId="0" applyNumberFormat="1" applyFill="1" applyBorder="1" applyAlignment="1" applyProtection="1">
      <alignment horizontal="right"/>
      <protection locked="0"/>
    </xf>
    <xf numFmtId="0" fontId="0" fillId="6" borderId="30" xfId="0" applyFill="1" applyBorder="1"/>
    <xf numFmtId="164" fontId="0" fillId="6" borderId="30" xfId="0" applyNumberFormat="1" applyFill="1" applyBorder="1"/>
    <xf numFmtId="164" fontId="0" fillId="6" borderId="55" xfId="1" applyNumberFormat="1" applyFont="1" applyFill="1" applyBorder="1" applyAlignment="1" applyProtection="1">
      <alignment horizontal="right"/>
      <protection locked="0"/>
    </xf>
    <xf numFmtId="164" fontId="0" fillId="6" borderId="7" xfId="0" applyNumberFormat="1" applyFill="1" applyBorder="1" applyAlignment="1" applyProtection="1">
      <alignment wrapText="1"/>
      <protection locked="0"/>
    </xf>
    <xf numFmtId="164" fontId="0" fillId="6" borderId="12" xfId="0" applyNumberFormat="1" applyFill="1" applyBorder="1" applyAlignment="1" applyProtection="1">
      <alignment wrapText="1"/>
      <protection locked="0"/>
    </xf>
    <xf numFmtId="164" fontId="0" fillId="6" borderId="7" xfId="0" applyNumberFormat="1" applyFill="1" applyBorder="1" applyProtection="1">
      <protection locked="0"/>
    </xf>
    <xf numFmtId="10" fontId="0" fillId="6" borderId="8" xfId="2" applyNumberFormat="1" applyFont="1" applyFill="1" applyBorder="1" applyAlignment="1" applyProtection="1">
      <alignment horizontal="right"/>
      <protection locked="0"/>
    </xf>
    <xf numFmtId="10" fontId="0" fillId="6" borderId="10" xfId="2" applyNumberFormat="1" applyFont="1" applyFill="1" applyBorder="1" applyAlignment="1" applyProtection="1">
      <alignment horizontal="right"/>
      <protection locked="0"/>
    </xf>
    <xf numFmtId="10" fontId="0" fillId="6" borderId="13" xfId="2" applyNumberFormat="1" applyFont="1" applyFill="1" applyBorder="1" applyAlignment="1" applyProtection="1">
      <alignment horizontal="right"/>
      <protection locked="0"/>
    </xf>
    <xf numFmtId="10" fontId="0" fillId="6" borderId="8" xfId="2" applyNumberFormat="1" applyFont="1" applyFill="1" applyBorder="1" applyAlignment="1" applyProtection="1">
      <alignment wrapText="1"/>
      <protection locked="0"/>
    </xf>
    <xf numFmtId="10" fontId="0" fillId="6" borderId="13" xfId="2" applyNumberFormat="1" applyFont="1" applyFill="1" applyBorder="1" applyAlignment="1" applyProtection="1">
      <alignment wrapText="1"/>
      <protection locked="0"/>
    </xf>
    <xf numFmtId="164" fontId="34" fillId="4" borderId="14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center" vertical="center"/>
    </xf>
    <xf numFmtId="44" fontId="0" fillId="9" borderId="0" xfId="1" applyFont="1" applyFill="1" applyBorder="1"/>
    <xf numFmtId="44" fontId="0" fillId="9" borderId="0" xfId="1" applyFont="1" applyFill="1" applyBorder="1" applyAlignment="1">
      <alignment horizontal="center" vertical="center"/>
    </xf>
    <xf numFmtId="44" fontId="0" fillId="9" borderId="0" xfId="1" applyFont="1" applyFill="1" applyBorder="1" applyAlignment="1" applyProtection="1">
      <alignment horizontal="center"/>
      <protection locked="0"/>
    </xf>
    <xf numFmtId="44" fontId="0" fillId="9" borderId="0" xfId="1" applyFont="1" applyFill="1" applyBorder="1" applyAlignment="1" applyProtection="1">
      <alignment horizontal="center" vertical="center"/>
      <protection locked="0"/>
    </xf>
    <xf numFmtId="164" fontId="0" fillId="9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30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164" fontId="0" fillId="9" borderId="4" xfId="0" applyNumberFormat="1" applyFill="1" applyBorder="1"/>
    <xf numFmtId="0" fontId="0" fillId="9" borderId="4" xfId="0" applyFill="1" applyBorder="1"/>
    <xf numFmtId="164" fontId="0" fillId="9" borderId="4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4" fontId="0" fillId="0" borderId="0" xfId="0" applyNumberFormat="1"/>
    <xf numFmtId="164" fontId="0" fillId="6" borderId="29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1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0" fontId="4" fillId="0" borderId="59" xfId="0" applyFont="1" applyBorder="1"/>
    <xf numFmtId="165" fontId="0" fillId="6" borderId="44" xfId="1" applyNumberFormat="1" applyFont="1" applyFill="1" applyBorder="1" applyProtection="1">
      <protection locked="0"/>
    </xf>
    <xf numFmtId="165" fontId="0" fillId="6" borderId="45" xfId="1" applyNumberFormat="1" applyFont="1" applyFill="1" applyBorder="1" applyProtection="1"/>
    <xf numFmtId="0" fontId="38" fillId="18" borderId="27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 vertical="center"/>
    </xf>
    <xf numFmtId="0" fontId="35" fillId="18" borderId="29" xfId="0" applyFont="1" applyFill="1" applyBorder="1" applyAlignment="1">
      <alignment horizontal="center" vertical="center"/>
    </xf>
    <xf numFmtId="164" fontId="35" fillId="18" borderId="22" xfId="0" applyNumberFormat="1" applyFont="1" applyFill="1" applyBorder="1" applyAlignment="1">
      <alignment horizontal="center" vertical="center"/>
    </xf>
    <xf numFmtId="164" fontId="39" fillId="17" borderId="23" xfId="1" applyNumberFormat="1" applyFont="1" applyFill="1" applyBorder="1" applyAlignment="1" applyProtection="1">
      <alignment horizontal="center" vertical="center"/>
    </xf>
    <xf numFmtId="0" fontId="35" fillId="18" borderId="34" xfId="0" applyFont="1" applyFill="1" applyBorder="1" applyAlignment="1">
      <alignment horizontal="center"/>
    </xf>
    <xf numFmtId="0" fontId="35" fillId="18" borderId="32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44" fontId="35" fillId="18" borderId="30" xfId="1" applyFont="1" applyFill="1" applyBorder="1" applyAlignment="1">
      <alignment horizontal="center"/>
    </xf>
    <xf numFmtId="44" fontId="35" fillId="18" borderId="29" xfId="1" applyFont="1" applyFill="1" applyBorder="1" applyAlignment="1">
      <alignment horizontal="center"/>
    </xf>
    <xf numFmtId="44" fontId="35" fillId="18" borderId="31" xfId="1" applyFont="1" applyFill="1" applyBorder="1" applyAlignment="1">
      <alignment horizontal="center"/>
    </xf>
    <xf numFmtId="44" fontId="35" fillId="18" borderId="4" xfId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/>
    </xf>
    <xf numFmtId="0" fontId="35" fillId="18" borderId="36" xfId="0" applyFont="1" applyFill="1" applyBorder="1" applyAlignment="1">
      <alignment horizontal="center"/>
    </xf>
    <xf numFmtId="0" fontId="35" fillId="18" borderId="35" xfId="0" applyFont="1" applyFill="1" applyBorder="1" applyAlignment="1">
      <alignment horizontal="center"/>
    </xf>
    <xf numFmtId="0" fontId="35" fillId="18" borderId="40" xfId="0" applyFont="1" applyFill="1" applyBorder="1" applyAlignment="1">
      <alignment horizontal="center" vertical="center"/>
    </xf>
    <xf numFmtId="0" fontId="9" fillId="3" borderId="11" xfId="0" applyFont="1" applyFill="1" applyBorder="1"/>
    <xf numFmtId="0" fontId="0" fillId="6" borderId="60" xfId="0" applyFill="1" applyBorder="1" applyAlignment="1" applyProtection="1">
      <alignment horizontal="center" vertical="center"/>
      <protection locked="0"/>
    </xf>
    <xf numFmtId="164" fontId="0" fillId="6" borderId="55" xfId="1" applyNumberFormat="1" applyFont="1" applyFill="1" applyBorder="1" applyAlignment="1" applyProtection="1">
      <alignment horizontal="center" vertical="center"/>
      <protection locked="0"/>
    </xf>
    <xf numFmtId="9" fontId="0" fillId="6" borderId="55" xfId="0" applyNumberFormat="1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center" vertical="center"/>
      <protection locked="0"/>
    </xf>
    <xf numFmtId="44" fontId="0" fillId="6" borderId="55" xfId="1" applyFont="1" applyFill="1" applyBorder="1" applyAlignment="1" applyProtection="1">
      <alignment horizontal="center" vertical="center"/>
      <protection locked="0"/>
    </xf>
    <xf numFmtId="44" fontId="0" fillId="6" borderId="61" xfId="1" applyFont="1" applyFill="1" applyBorder="1" applyAlignment="1" applyProtection="1">
      <alignment horizontal="center" vertical="center"/>
      <protection locked="0"/>
    </xf>
    <xf numFmtId="9" fontId="0" fillId="6" borderId="7" xfId="0" applyNumberFormat="1" applyFill="1" applyBorder="1" applyAlignment="1" applyProtection="1">
      <alignment horizontal="center"/>
      <protection locked="0"/>
    </xf>
    <xf numFmtId="44" fontId="0" fillId="6" borderId="7" xfId="1" applyFont="1" applyFill="1" applyBorder="1" applyAlignment="1" applyProtection="1">
      <alignment horizontal="left" vertical="center"/>
      <protection locked="0"/>
    </xf>
    <xf numFmtId="14" fontId="0" fillId="6" borderId="8" xfId="0" applyNumberFormat="1" applyFill="1" applyBorder="1" applyProtection="1">
      <protection locked="0"/>
    </xf>
    <xf numFmtId="14" fontId="0" fillId="6" borderId="45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8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8" borderId="14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vertical="center"/>
    </xf>
    <xf numFmtId="0" fontId="37" fillId="18" borderId="19" xfId="0" applyFont="1" applyFill="1" applyBorder="1" applyAlignment="1">
      <alignment horizontal="center" vertical="center"/>
    </xf>
    <xf numFmtId="0" fontId="37" fillId="18" borderId="20" xfId="0" applyFont="1" applyFill="1" applyBorder="1" applyAlignment="1">
      <alignment horizontal="center" vertical="center"/>
    </xf>
    <xf numFmtId="0" fontId="37" fillId="18" borderId="2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0" fillId="6" borderId="12" xfId="0" applyFill="1" applyBorder="1" applyAlignment="1" applyProtection="1">
      <alignment horizontal="left"/>
      <protection locked="0"/>
    </xf>
    <xf numFmtId="0" fontId="0" fillId="6" borderId="25" xfId="0" applyFill="1" applyBorder="1" applyAlignment="1" applyProtection="1">
      <alignment horizontal="left"/>
      <protection locked="0"/>
    </xf>
    <xf numFmtId="0" fontId="3" fillId="9" borderId="0" xfId="0" applyFont="1" applyFill="1" applyAlignment="1">
      <alignment horizontal="center" vertical="center"/>
    </xf>
    <xf numFmtId="164" fontId="34" fillId="9" borderId="0" xfId="1" applyNumberFormat="1" applyFont="1" applyFill="1" applyBorder="1" applyAlignment="1" applyProtection="1">
      <alignment horizontal="center" vertical="center"/>
    </xf>
    <xf numFmtId="0" fontId="6" fillId="9" borderId="0" xfId="0" applyFont="1" applyFill="1" applyAlignment="1">
      <alignment horizontal="left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19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/>
    </xf>
    <xf numFmtId="0" fontId="36" fillId="18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/>
    </xf>
    <xf numFmtId="0" fontId="35" fillId="18" borderId="5" xfId="0" applyFon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5" fillId="18" borderId="3" xfId="0" applyFont="1" applyFill="1" applyBorder="1" applyAlignment="1">
      <alignment horizontal="center" vertical="center"/>
    </xf>
    <xf numFmtId="0" fontId="35" fillId="18" borderId="50" xfId="0" applyFont="1" applyFill="1" applyBorder="1" applyAlignment="1">
      <alignment horizontal="center" vertical="center"/>
    </xf>
    <xf numFmtId="0" fontId="0" fillId="6" borderId="51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5" fillId="18" borderId="28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53" xfId="0" applyFill="1" applyBorder="1" applyAlignment="1" applyProtection="1">
      <alignment horizontal="center" vertical="center"/>
      <protection locked="0"/>
    </xf>
    <xf numFmtId="165" fontId="0" fillId="6" borderId="25" xfId="1" applyNumberFormat="1" applyFont="1" applyFill="1" applyBorder="1" applyAlignment="1" applyProtection="1">
      <alignment horizontal="center"/>
      <protection locked="0"/>
    </xf>
    <xf numFmtId="165" fontId="0" fillId="6" borderId="56" xfId="1" applyNumberFormat="1" applyFont="1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 applyProtection="1">
      <alignment horizontal="center"/>
      <protection locked="0"/>
    </xf>
    <xf numFmtId="164" fontId="0" fillId="6" borderId="57" xfId="0" applyNumberFormat="1" applyFill="1" applyBorder="1" applyAlignment="1" applyProtection="1">
      <alignment horizontal="center"/>
      <protection locked="0"/>
    </xf>
    <xf numFmtId="165" fontId="0" fillId="6" borderId="24" xfId="1" applyNumberFormat="1" applyFont="1" applyFill="1" applyBorder="1" applyAlignment="1" applyProtection="1">
      <alignment horizontal="center"/>
      <protection locked="0"/>
    </xf>
    <xf numFmtId="165" fontId="0" fillId="6" borderId="26" xfId="1" applyNumberFormat="1" applyFont="1" applyFill="1" applyBorder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/>
    </xf>
    <xf numFmtId="0" fontId="35" fillId="18" borderId="54" xfId="0" applyFont="1" applyFill="1" applyBorder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9" fillId="17" borderId="51" xfId="0" applyFont="1" applyFill="1" applyBorder="1" applyAlignment="1">
      <alignment horizontal="center" vertical="center"/>
    </xf>
    <xf numFmtId="0" fontId="39" fillId="17" borderId="58" xfId="0" applyFont="1" applyFill="1" applyBorder="1" applyAlignment="1">
      <alignment horizontal="center" vertical="center"/>
    </xf>
    <xf numFmtId="0" fontId="39" fillId="17" borderId="56" xfId="0" applyFont="1" applyFill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64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 applyProtection="1">
      <alignment horizontal="center"/>
      <protection locked="0"/>
    </xf>
    <xf numFmtId="165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2" borderId="14" xfId="3" applyFont="1" applyFill="1" applyBorder="1" applyAlignment="1" applyProtection="1">
      <alignment horizontal="center"/>
      <protection hidden="1"/>
    </xf>
    <xf numFmtId="0" fontId="16" fillId="12" borderId="15" xfId="3" applyFont="1" applyFill="1" applyBorder="1" applyAlignment="1" applyProtection="1">
      <alignment horizontal="center"/>
      <protection hidden="1"/>
    </xf>
    <xf numFmtId="0" fontId="16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2" borderId="34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40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3" xfId="3" applyFont="1" applyBorder="1" applyAlignment="1" applyProtection="1">
      <alignment horizontal="center"/>
      <protection hidden="1"/>
    </xf>
    <xf numFmtId="0" fontId="17" fillId="10" borderId="14" xfId="5" applyFont="1" applyFill="1" applyBorder="1" applyAlignment="1" applyProtection="1">
      <alignment horizontal="center"/>
      <protection hidden="1"/>
    </xf>
    <xf numFmtId="0" fontId="17" fillId="10" borderId="15" xfId="5" applyFont="1" applyFill="1" applyBorder="1" applyAlignment="1" applyProtection="1">
      <alignment horizontal="center"/>
      <protection hidden="1"/>
    </xf>
    <xf numFmtId="0" fontId="17" fillId="10" borderId="16" xfId="5" applyFont="1" applyFill="1" applyBorder="1" applyAlignment="1" applyProtection="1">
      <alignment horizontal="center"/>
      <protection hidden="1"/>
    </xf>
    <xf numFmtId="0" fontId="19" fillId="10" borderId="17" xfId="6" applyFont="1" applyFill="1" applyBorder="1" applyAlignment="1" applyProtection="1">
      <alignment horizontal="center" vertical="center"/>
      <protection hidden="1"/>
    </xf>
    <xf numFmtId="0" fontId="20" fillId="10" borderId="0" xfId="5" applyFont="1" applyFill="1" applyAlignment="1" applyProtection="1">
      <alignment horizontal="center" vertical="center"/>
      <protection hidden="1"/>
    </xf>
    <xf numFmtId="0" fontId="20" fillId="10" borderId="17" xfId="5" applyFont="1" applyFill="1" applyBorder="1" applyAlignment="1" applyProtection="1">
      <alignment horizontal="center" vertical="center"/>
      <protection hidden="1"/>
    </xf>
    <xf numFmtId="0" fontId="21" fillId="11" borderId="0" xfId="5" applyFont="1" applyFill="1" applyAlignment="1" applyProtection="1">
      <alignment horizontal="center" vertical="center"/>
      <protection hidden="1"/>
    </xf>
    <xf numFmtId="0" fontId="21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6" fillId="10" borderId="0" xfId="5" applyFont="1" applyFill="1" applyAlignment="1" applyProtection="1">
      <alignment horizontal="center" vertical="center"/>
      <protection hidden="1"/>
    </xf>
    <xf numFmtId="0" fontId="26" fillId="10" borderId="18" xfId="5" applyFont="1" applyFill="1" applyBorder="1" applyAlignment="1" applyProtection="1">
      <alignment horizontal="center" vertical="center"/>
      <protection hidden="1"/>
    </xf>
    <xf numFmtId="0" fontId="28" fillId="10" borderId="17" xfId="5" applyFont="1" applyFill="1" applyBorder="1" applyAlignment="1" applyProtection="1">
      <alignment horizontal="center"/>
      <protection hidden="1"/>
    </xf>
    <xf numFmtId="0" fontId="28" fillId="10" borderId="0" xfId="5" applyFont="1" applyFill="1" applyAlignment="1" applyProtection="1">
      <alignment horizontal="center"/>
      <protection hidden="1"/>
    </xf>
    <xf numFmtId="0" fontId="28" fillId="10" borderId="18" xfId="5" applyFont="1" applyFill="1" applyBorder="1" applyAlignment="1" applyProtection="1">
      <alignment horizontal="center"/>
      <protection hidden="1"/>
    </xf>
    <xf numFmtId="0" fontId="16" fillId="0" borderId="3" xfId="3" applyFont="1" applyBorder="1" applyAlignment="1" applyProtection="1">
      <alignment horizontal="center"/>
      <protection hidden="1"/>
    </xf>
    <xf numFmtId="0" fontId="16" fillId="0" borderId="4" xfId="3" applyFont="1" applyBorder="1" applyAlignment="1" applyProtection="1">
      <alignment horizontal="center"/>
      <protection hidden="1"/>
    </xf>
    <xf numFmtId="0" fontId="16" fillId="0" borderId="5" xfId="3" applyFont="1" applyBorder="1" applyAlignment="1" applyProtection="1">
      <alignment horizontal="center"/>
      <protection hidden="1"/>
    </xf>
  </cellXfs>
  <cellStyles count="7"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DFC341"/>
      <color rgb="FF213444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8966</xdr:colOff>
      <xdr:row>30</xdr:row>
      <xdr:rowOff>161363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0659" y="995082"/>
          <a:ext cx="10963836" cy="5298140"/>
        </a:xfrm>
        <a:prstGeom prst="rect">
          <a:avLst/>
        </a:prstGeom>
      </xdr:spPr>
    </xdr:pic>
    <xdr:clientData/>
  </xdr:twoCellAnchor>
  <xdr:twoCellAnchor>
    <xdr:from>
      <xdr:col>5</xdr:col>
      <xdr:colOff>748554</xdr:colOff>
      <xdr:row>5</xdr:row>
      <xdr:rowOff>188259</xdr:rowOff>
    </xdr:from>
    <xdr:to>
      <xdr:col>9</xdr:col>
      <xdr:colOff>103094</xdr:colOff>
      <xdr:row>18</xdr:row>
      <xdr:rowOff>134471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59942" y="1174377"/>
          <a:ext cx="2725270" cy="272527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9716" y="3982774"/>
          <a:ext cx="8146471" cy="1808425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3200">
              <a:solidFill>
                <a:srgbClr val="002060"/>
              </a:solidFill>
            </a:rPr>
            <a:t>M. et Mme BOUGNOUNOU</a:t>
          </a:r>
          <a:endParaRPr lang="fr-FR" sz="3200" baseline="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188259</xdr:colOff>
      <xdr:row>6</xdr:row>
      <xdr:rowOff>233082</xdr:rowOff>
    </xdr:from>
    <xdr:to>
      <xdr:col>8</xdr:col>
      <xdr:colOff>656418</xdr:colOff>
      <xdr:row>17</xdr:row>
      <xdr:rowOff>57731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330" y="1416423"/>
          <a:ext cx="2153523" cy="2209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33</xdr:row>
      <xdr:rowOff>46382</xdr:rowOff>
    </xdr:from>
    <xdr:to>
      <xdr:col>1</xdr:col>
      <xdr:colOff>540541</xdr:colOff>
      <xdr:row>34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orrigetonimpot.fr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300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</row>
    <row r="2" spans="1:15" x14ac:dyDescent="0.3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</row>
    <row r="3" spans="1:15" x14ac:dyDescent="0.3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</row>
    <row r="4" spans="1:15" x14ac:dyDescent="0.3">
      <c r="A4" s="300"/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</row>
    <row r="5" spans="1:15" x14ac:dyDescent="0.3">
      <c r="A5" s="300"/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</row>
    <row r="6" spans="1:15" x14ac:dyDescent="0.3">
      <c r="A6" s="300"/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</row>
    <row r="7" spans="1:15" x14ac:dyDescent="0.3">
      <c r="A7" s="300"/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</row>
    <row r="8" spans="1:15" x14ac:dyDescent="0.3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</row>
    <row r="9" spans="1:15" x14ac:dyDescent="0.3">
      <c r="A9" s="300"/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</row>
    <row r="10" spans="1:15" x14ac:dyDescent="0.3">
      <c r="A10" s="300"/>
      <c r="B10" s="300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</row>
    <row r="11" spans="1:15" x14ac:dyDescent="0.3">
      <c r="A11" s="300"/>
      <c r="B11" s="300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</row>
    <row r="12" spans="1:15" x14ac:dyDescent="0.3">
      <c r="A12" s="300"/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</row>
    <row r="13" spans="1:15" x14ac:dyDescent="0.3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</row>
    <row r="14" spans="1:15" x14ac:dyDescent="0.3">
      <c r="A14" s="300"/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</row>
    <row r="15" spans="1:15" x14ac:dyDescent="0.3">
      <c r="A15" s="300"/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</row>
    <row r="16" spans="1:15" x14ac:dyDescent="0.3">
      <c r="A16" s="300"/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</row>
    <row r="17" spans="1:15" x14ac:dyDescent="0.3">
      <c r="A17" s="300"/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</row>
    <row r="18" spans="1:15" x14ac:dyDescent="0.3">
      <c r="A18" s="300"/>
      <c r="B18" s="300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0"/>
      <c r="N18" s="300"/>
      <c r="O18" s="300"/>
    </row>
    <row r="19" spans="1:15" x14ac:dyDescent="0.3">
      <c r="A19" s="300"/>
      <c r="B19" s="300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0"/>
      <c r="N19" s="300"/>
      <c r="O19" s="300"/>
    </row>
    <row r="20" spans="1:15" x14ac:dyDescent="0.3">
      <c r="A20" s="300"/>
      <c r="B20" s="300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</row>
    <row r="21" spans="1:15" x14ac:dyDescent="0.3">
      <c r="A21" s="300"/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</row>
    <row r="22" spans="1:15" x14ac:dyDescent="0.3">
      <c r="A22" s="300"/>
      <c r="B22" s="300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</row>
    <row r="23" spans="1:15" x14ac:dyDescent="0.3">
      <c r="A23" s="300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L9" sqref="L9"/>
    </sheetView>
  </sheetViews>
  <sheetFormatPr baseColWidth="10" defaultColWidth="11" defaultRowHeight="15.6" x14ac:dyDescent="0.3"/>
  <sheetData>
    <row r="1" spans="2:9" ht="16.2" thickBot="1" x14ac:dyDescent="0.35"/>
    <row r="2" spans="2:9" ht="19.95" customHeight="1" x14ac:dyDescent="0.3">
      <c r="B2" s="471" t="s">
        <v>161</v>
      </c>
      <c r="C2" s="472"/>
      <c r="D2" s="472"/>
      <c r="E2" s="472"/>
      <c r="F2" s="472"/>
      <c r="G2" s="472"/>
      <c r="H2" s="472"/>
      <c r="I2" s="473"/>
    </row>
    <row r="3" spans="2:9" ht="19.95" customHeight="1" thickBot="1" x14ac:dyDescent="0.35">
      <c r="B3" s="474"/>
      <c r="C3" s="475"/>
      <c r="D3" s="475"/>
      <c r="E3" s="475"/>
      <c r="F3" s="475"/>
      <c r="G3" s="475"/>
      <c r="H3" s="475"/>
      <c r="I3" s="476"/>
    </row>
    <row r="4" spans="2:9" ht="16.2" thickBot="1" x14ac:dyDescent="0.35"/>
    <row r="5" spans="2:9" ht="31.95" customHeight="1" thickBot="1" x14ac:dyDescent="0.35">
      <c r="C5" s="477" t="s">
        <v>162</v>
      </c>
      <c r="D5" s="478"/>
      <c r="E5" s="478"/>
      <c r="F5" s="478"/>
      <c r="G5" s="478"/>
      <c r="H5" s="479"/>
    </row>
    <row r="6" spans="2:9" ht="16.2" thickBot="1" x14ac:dyDescent="0.35"/>
    <row r="7" spans="2:9" ht="31.2" customHeight="1" thickBot="1" x14ac:dyDescent="0.35">
      <c r="C7" s="480" t="s">
        <v>163</v>
      </c>
      <c r="D7" s="481"/>
      <c r="E7" s="481"/>
      <c r="F7" s="481"/>
      <c r="G7" s="481"/>
      <c r="H7" s="482"/>
    </row>
    <row r="8" spans="2:9" ht="16.2" thickBot="1" x14ac:dyDescent="0.35"/>
    <row r="9" spans="2:9" ht="31.2" customHeight="1" thickBot="1" x14ac:dyDescent="0.35">
      <c r="C9" s="480" t="s">
        <v>164</v>
      </c>
      <c r="D9" s="481"/>
      <c r="E9" s="481"/>
      <c r="F9" s="481"/>
      <c r="G9" s="481"/>
      <c r="H9" s="482"/>
    </row>
    <row r="10" spans="2:9" ht="16.2" thickBot="1" x14ac:dyDescent="0.35"/>
    <row r="11" spans="2:9" ht="31.95" customHeight="1" thickBot="1" x14ac:dyDescent="0.35">
      <c r="C11" s="480" t="s">
        <v>165</v>
      </c>
      <c r="D11" s="481"/>
      <c r="E11" s="481"/>
      <c r="F11" s="481"/>
      <c r="G11" s="481"/>
      <c r="H11" s="482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O31" sqref="O31"/>
    </sheetView>
  </sheetViews>
  <sheetFormatPr baseColWidth="10" defaultColWidth="10.19921875" defaultRowHeight="14.4" x14ac:dyDescent="0.3"/>
  <cols>
    <col min="1" max="1" width="10.19921875" style="21"/>
    <col min="2" max="3" width="11.8984375" style="21" bestFit="1" customWidth="1"/>
    <col min="4" max="4" width="10.19921875" style="21"/>
    <col min="5" max="5" width="28.19921875" style="21" customWidth="1"/>
    <col min="6" max="6" width="21.59765625" style="21" customWidth="1"/>
    <col min="7" max="7" width="2.3984375" style="21" customWidth="1"/>
    <col min="8" max="8" width="28.3984375" style="21" customWidth="1"/>
    <col min="9" max="9" width="14.09765625" style="21" bestFit="1" customWidth="1"/>
    <col min="10" max="10" width="11.89843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483" t="s">
        <v>166</v>
      </c>
      <c r="B1" s="484"/>
      <c r="C1" s="484"/>
      <c r="D1" s="484"/>
      <c r="E1" s="484"/>
      <c r="F1" s="484"/>
      <c r="G1" s="484"/>
      <c r="H1" s="484"/>
      <c r="I1" s="484"/>
      <c r="J1" s="485"/>
    </row>
    <row r="2" spans="1:15" ht="16.2" customHeight="1" thickBot="1" x14ac:dyDescent="0.35">
      <c r="A2" s="492"/>
      <c r="B2" s="502"/>
      <c r="C2" s="502"/>
      <c r="D2" s="502"/>
      <c r="E2" s="502"/>
      <c r="F2" s="502"/>
      <c r="G2" s="502"/>
      <c r="H2" s="491"/>
      <c r="I2" s="491"/>
      <c r="J2" s="506"/>
    </row>
    <row r="3" spans="1:15" ht="15.6" customHeight="1" thickBot="1" x14ac:dyDescent="0.35">
      <c r="A3" s="493"/>
      <c r="B3" s="486" t="s">
        <v>167</v>
      </c>
      <c r="C3" s="487"/>
      <c r="D3" s="487"/>
      <c r="E3" s="487"/>
      <c r="F3" s="488"/>
      <c r="G3" s="500"/>
      <c r="H3" s="78" t="s">
        <v>168</v>
      </c>
      <c r="I3" s="76"/>
      <c r="J3" s="157">
        <f>('Etat Civil'!H8*0.9)+('Etat Civil'!H13*0.9)+'Etat Civil'!H10+'Etat Civil'!H15+'Etat Civil'!H18-'Etat Civil'!G27</f>
        <v>103950</v>
      </c>
    </row>
    <row r="4" spans="1:15" ht="15.6" customHeight="1" thickBot="1" x14ac:dyDescent="0.35">
      <c r="A4" s="493"/>
      <c r="B4" s="57"/>
      <c r="C4" s="58"/>
      <c r="D4" s="74"/>
      <c r="E4" s="58"/>
      <c r="F4" s="59"/>
      <c r="G4" s="500"/>
      <c r="H4" s="79" t="s">
        <v>169</v>
      </c>
      <c r="I4" s="77"/>
      <c r="J4" s="75">
        <f>'Impôt 2021 revenus 2020'!C10</f>
        <v>3</v>
      </c>
      <c r="M4" s="21">
        <v>0</v>
      </c>
      <c r="O4" s="21" t="s">
        <v>170</v>
      </c>
    </row>
    <row r="5" spans="1:15" ht="15.6" customHeight="1" x14ac:dyDescent="0.3">
      <c r="A5" s="493"/>
      <c r="B5" s="60">
        <v>0</v>
      </c>
      <c r="C5" s="61">
        <v>10064</v>
      </c>
      <c r="D5" s="66">
        <f>0</f>
        <v>0</v>
      </c>
      <c r="E5" s="61">
        <f>0</f>
        <v>0</v>
      </c>
      <c r="F5" s="62"/>
      <c r="G5" s="500"/>
      <c r="H5" s="502"/>
      <c r="I5" s="502"/>
      <c r="J5" s="495"/>
      <c r="M5" s="21">
        <v>1</v>
      </c>
      <c r="O5" s="21" t="s">
        <v>171</v>
      </c>
    </row>
    <row r="6" spans="1:15" ht="15.6" customHeight="1" x14ac:dyDescent="0.3">
      <c r="A6" s="493"/>
      <c r="B6" s="60">
        <v>10065</v>
      </c>
      <c r="C6" s="61">
        <v>25659</v>
      </c>
      <c r="D6" s="66">
        <v>0.11</v>
      </c>
      <c r="E6" s="61">
        <f>(C6-B6)*D6</f>
        <v>1715.34</v>
      </c>
      <c r="F6" s="62"/>
      <c r="G6" s="500"/>
      <c r="H6" s="500"/>
      <c r="I6" s="500"/>
      <c r="J6" s="496"/>
      <c r="M6" s="21">
        <v>2</v>
      </c>
      <c r="O6" s="21" t="s">
        <v>172</v>
      </c>
    </row>
    <row r="7" spans="1:15" ht="15.6" customHeight="1" x14ac:dyDescent="0.3">
      <c r="A7" s="493"/>
      <c r="B7" s="60">
        <v>25660</v>
      </c>
      <c r="C7" s="61">
        <v>73369</v>
      </c>
      <c r="D7" s="66">
        <f>0.3</f>
        <v>0.3</v>
      </c>
      <c r="E7" s="61">
        <f>(C7-B7)*D7</f>
        <v>14312.699999999999</v>
      </c>
      <c r="F7" s="62">
        <f>E7+E6</f>
        <v>16028.039999999999</v>
      </c>
      <c r="G7" s="500"/>
      <c r="H7" s="500"/>
      <c r="I7" s="500"/>
      <c r="J7" s="496"/>
      <c r="M7" s="21">
        <v>3</v>
      </c>
    </row>
    <row r="8" spans="1:15" ht="15.6" customHeight="1" thickBot="1" x14ac:dyDescent="0.35">
      <c r="A8" s="493"/>
      <c r="B8" s="60">
        <v>73370</v>
      </c>
      <c r="C8" s="61">
        <v>157806</v>
      </c>
      <c r="D8" s="66">
        <v>0.41</v>
      </c>
      <c r="E8" s="61">
        <f>(C8-B8)*D8</f>
        <v>34618.759999999995</v>
      </c>
      <c r="F8" s="62">
        <f>SUM(E6:E8)</f>
        <v>50646.799999999996</v>
      </c>
      <c r="G8" s="500"/>
      <c r="H8" s="500"/>
      <c r="I8" s="500"/>
      <c r="J8" s="496"/>
      <c r="M8" s="21">
        <v>4</v>
      </c>
    </row>
    <row r="9" spans="1:15" ht="15.6" customHeight="1" thickBot="1" x14ac:dyDescent="0.35">
      <c r="A9" s="493"/>
      <c r="B9" s="63"/>
      <c r="C9" s="64"/>
      <c r="D9" s="67">
        <f>0.45</f>
        <v>0.45</v>
      </c>
      <c r="E9" s="64"/>
      <c r="F9" s="65"/>
      <c r="G9" s="500"/>
      <c r="H9" s="486" t="s">
        <v>173</v>
      </c>
      <c r="I9" s="488"/>
      <c r="J9" s="55"/>
      <c r="M9" s="21">
        <v>5</v>
      </c>
    </row>
    <row r="10" spans="1:15" ht="15.6" customHeight="1" x14ac:dyDescent="0.3">
      <c r="A10" s="493"/>
      <c r="B10" s="502"/>
      <c r="C10" s="502"/>
      <c r="D10" s="502"/>
      <c r="E10" s="502"/>
      <c r="F10" s="502"/>
      <c r="G10" s="500"/>
      <c r="H10" s="84" t="s">
        <v>174</v>
      </c>
      <c r="I10" s="80">
        <f>IF(J3&gt;=C8, (J3-C8)*D9+E8+E7+E6, IF(J3&gt;=C7, (J3-C7)*D8+E7+E6, IF(J3&gt;=C6, (J3-C6)*D7+E6, IF(J3&gt;=C5, (J3-C5)*D6, 0))))</f>
        <v>28566.249999999996</v>
      </c>
      <c r="J10" s="55"/>
    </row>
    <row r="11" spans="1:15" ht="15.6" customHeight="1" x14ac:dyDescent="0.3">
      <c r="A11" s="493"/>
      <c r="B11" s="500"/>
      <c r="C11" s="500"/>
      <c r="D11" s="500"/>
      <c r="E11" s="500"/>
      <c r="F11" s="500"/>
      <c r="G11" s="500"/>
      <c r="H11" s="85" t="s">
        <v>175</v>
      </c>
      <c r="I11" s="81">
        <f>IF(J3&gt;=C28, (J3-C28)*D29+E28+E27+E26, IF(J3&gt;=C27, (J3-C27)*D28+E27+E26, IF(J3&gt;=C26, (J3-C26)*D27+E26, IF(J3&gt;=C25, (J3-C25)*D26, 0))))</f>
        <v>13237.92</v>
      </c>
      <c r="J11" s="55"/>
    </row>
    <row r="12" spans="1:15" ht="15.6" customHeight="1" x14ac:dyDescent="0.3">
      <c r="A12" s="493"/>
      <c r="B12" s="500"/>
      <c r="C12" s="500"/>
      <c r="D12" s="500"/>
      <c r="E12" s="500"/>
      <c r="F12" s="500"/>
      <c r="G12" s="500"/>
      <c r="H12" s="85"/>
      <c r="I12" s="82"/>
      <c r="J12" s="55"/>
    </row>
    <row r="13" spans="1:15" ht="15.6" customHeight="1" x14ac:dyDescent="0.3">
      <c r="A13" s="493"/>
      <c r="B13" s="500"/>
      <c r="C13" s="500"/>
      <c r="D13" s="500"/>
      <c r="E13" s="500"/>
      <c r="F13" s="500"/>
      <c r="G13" s="500"/>
      <c r="H13" s="85" t="s">
        <v>176</v>
      </c>
      <c r="I13" s="82">
        <f>IF('Impôt 2021 revenus 2020'!C5="Parent isolé (T)", 1,0)</f>
        <v>0</v>
      </c>
      <c r="J13" s="55"/>
    </row>
    <row r="14" spans="1:15" ht="15.6" customHeight="1" x14ac:dyDescent="0.3">
      <c r="A14" s="493"/>
      <c r="B14" s="500"/>
      <c r="C14" s="500"/>
      <c r="D14" s="500"/>
      <c r="E14" s="500"/>
      <c r="F14" s="500"/>
      <c r="G14" s="500"/>
      <c r="H14" s="85" t="s">
        <v>177</v>
      </c>
      <c r="I14" s="82">
        <f>IF('Impôt 2021 revenus 2020'!C5="Enfant élevé seul (L)", 1, 0)</f>
        <v>0</v>
      </c>
      <c r="J14" s="55"/>
    </row>
    <row r="15" spans="1:15" ht="15.6" customHeight="1" thickBot="1" x14ac:dyDescent="0.35">
      <c r="A15" s="494"/>
      <c r="B15" s="501"/>
      <c r="C15" s="501"/>
      <c r="D15" s="501"/>
      <c r="E15" s="501"/>
      <c r="F15" s="501"/>
      <c r="G15" s="500"/>
      <c r="H15" s="85" t="s">
        <v>178</v>
      </c>
      <c r="I15" s="82">
        <f>IF('Impôt 2021 revenus 2020'!C5="Invalidité", 1,0)</f>
        <v>0</v>
      </c>
      <c r="J15" s="55"/>
    </row>
    <row r="16" spans="1:15" ht="16.2" customHeight="1" thickBot="1" x14ac:dyDescent="0.35">
      <c r="A16" s="503" t="s">
        <v>179</v>
      </c>
      <c r="B16" s="504"/>
      <c r="C16" s="504"/>
      <c r="D16" s="504"/>
      <c r="E16" s="504"/>
      <c r="F16" s="505"/>
      <c r="G16" s="500"/>
      <c r="H16" s="85" t="s">
        <v>180</v>
      </c>
      <c r="I16" s="82">
        <f>IF('Impôt 2021 revenus 2020'!C5=0, (J4-1)*2, (J4-1)*2-1)</f>
        <v>4</v>
      </c>
      <c r="J16" s="55"/>
    </row>
    <row r="17" spans="1:17" ht="15.6" customHeight="1" x14ac:dyDescent="0.3">
      <c r="A17" s="103">
        <v>1567</v>
      </c>
      <c r="B17" s="46" t="s">
        <v>181</v>
      </c>
      <c r="C17" s="46"/>
      <c r="D17" s="46"/>
      <c r="E17" s="46"/>
      <c r="F17" s="47"/>
      <c r="G17" s="500"/>
      <c r="H17" s="85" t="s">
        <v>182</v>
      </c>
      <c r="I17" s="81">
        <f>I10-A17*I16-I13*A19-I14*A18-I15*A20</f>
        <v>22298.249999999996</v>
      </c>
      <c r="J17" s="55"/>
      <c r="O17" s="21" t="s">
        <v>183</v>
      </c>
      <c r="P17" s="21">
        <v>0</v>
      </c>
      <c r="Q17" s="21">
        <v>1</v>
      </c>
    </row>
    <row r="18" spans="1:17" ht="15.6" customHeight="1" x14ac:dyDescent="0.3">
      <c r="A18" s="104">
        <v>936</v>
      </c>
      <c r="B18" s="48" t="s">
        <v>184</v>
      </c>
      <c r="C18" s="48"/>
      <c r="D18" s="48"/>
      <c r="E18" s="48"/>
      <c r="F18" s="49"/>
      <c r="G18" s="500"/>
      <c r="H18" s="85"/>
      <c r="I18" s="82"/>
      <c r="J18" s="55"/>
      <c r="P18" s="21">
        <v>1</v>
      </c>
      <c r="Q18" s="21">
        <v>1.5</v>
      </c>
    </row>
    <row r="19" spans="1:17" ht="15.6" customHeight="1" x14ac:dyDescent="0.3">
      <c r="A19" s="104">
        <f>3697-1567</f>
        <v>2130</v>
      </c>
      <c r="B19" s="48" t="s">
        <v>185</v>
      </c>
      <c r="C19" s="48"/>
      <c r="D19" s="48"/>
      <c r="E19" s="48"/>
      <c r="F19" s="49"/>
      <c r="G19" s="500"/>
      <c r="H19" s="85"/>
      <c r="I19" s="82"/>
      <c r="J19" s="55"/>
      <c r="P19" s="21">
        <v>2</v>
      </c>
      <c r="Q19" s="21">
        <v>2</v>
      </c>
    </row>
    <row r="20" spans="1:17" ht="15.6" customHeight="1" x14ac:dyDescent="0.3">
      <c r="A20" s="104">
        <v>3129</v>
      </c>
      <c r="B20" s="48" t="s">
        <v>186</v>
      </c>
      <c r="C20" s="48"/>
      <c r="D20" s="48"/>
      <c r="E20" s="48"/>
      <c r="F20" s="49"/>
      <c r="G20" s="500"/>
      <c r="H20" s="85" t="s">
        <v>187</v>
      </c>
      <c r="I20" s="81">
        <f>IF(I11&gt;I17, I11, I17)</f>
        <v>22298.249999999996</v>
      </c>
      <c r="J20" s="55"/>
      <c r="P20" s="21">
        <v>3</v>
      </c>
      <c r="Q20" s="21">
        <v>3</v>
      </c>
    </row>
    <row r="21" spans="1:17" ht="16.2" customHeight="1" thickBot="1" x14ac:dyDescent="0.35">
      <c r="A21" s="50"/>
      <c r="B21" s="51" t="s">
        <v>188</v>
      </c>
      <c r="C21" s="51"/>
      <c r="D21" s="51"/>
      <c r="E21" s="51"/>
      <c r="F21" s="52"/>
      <c r="G21" s="500"/>
      <c r="H21" s="85" t="s">
        <v>189</v>
      </c>
      <c r="I21" s="82">
        <f>IF(I20&lt;=1717, (777-I20*0.4525), 0)</f>
        <v>0</v>
      </c>
      <c r="J21" s="55"/>
      <c r="P21" s="21">
        <v>4</v>
      </c>
      <c r="Q21" s="21">
        <v>4</v>
      </c>
    </row>
    <row r="22" spans="1:17" ht="16.2" customHeight="1" thickBot="1" x14ac:dyDescent="0.35">
      <c r="A22" s="492"/>
      <c r="B22" s="502"/>
      <c r="C22" s="502"/>
      <c r="D22" s="502"/>
      <c r="E22" s="502"/>
      <c r="F22" s="502"/>
      <c r="G22" s="500"/>
      <c r="H22" s="86" t="s">
        <v>190</v>
      </c>
      <c r="I22" s="83">
        <f>IF(I21&gt;I20, 0, I20-I21)</f>
        <v>22298.249999999996</v>
      </c>
      <c r="J22" s="55"/>
    </row>
    <row r="23" spans="1:17" ht="16.2" customHeight="1" thickBot="1" x14ac:dyDescent="0.35">
      <c r="A23" s="499"/>
      <c r="B23" s="486" t="s">
        <v>191</v>
      </c>
      <c r="C23" s="487"/>
      <c r="D23" s="487"/>
      <c r="E23" s="487"/>
      <c r="F23" s="488"/>
      <c r="G23" s="500"/>
      <c r="H23" s="500"/>
      <c r="I23" s="500"/>
      <c r="J23" s="496"/>
      <c r="O23" s="21" t="s">
        <v>26</v>
      </c>
      <c r="P23" s="21">
        <v>0</v>
      </c>
      <c r="Q23" s="21">
        <v>2</v>
      </c>
    </row>
    <row r="24" spans="1:17" ht="15.6" customHeight="1" x14ac:dyDescent="0.3">
      <c r="A24" s="499"/>
      <c r="B24" s="57"/>
      <c r="C24" s="58"/>
      <c r="D24" s="58"/>
      <c r="E24" s="58"/>
      <c r="F24" s="59"/>
      <c r="G24" s="500"/>
      <c r="H24" s="500"/>
      <c r="I24" s="500"/>
      <c r="J24" s="496"/>
      <c r="P24" s="21">
        <v>1</v>
      </c>
      <c r="Q24" s="21">
        <v>2.5</v>
      </c>
    </row>
    <row r="25" spans="1:17" ht="15.6" customHeight="1" x14ac:dyDescent="0.3">
      <c r="A25" s="499"/>
      <c r="B25" s="60">
        <v>0</v>
      </c>
      <c r="C25" s="61">
        <f>C5*$J$4</f>
        <v>30192</v>
      </c>
      <c r="D25" s="66">
        <f>0</f>
        <v>0</v>
      </c>
      <c r="E25" s="61">
        <f>0</f>
        <v>0</v>
      </c>
      <c r="F25" s="62"/>
      <c r="G25" s="500"/>
      <c r="H25" s="500"/>
      <c r="I25" s="500"/>
      <c r="J25" s="496"/>
      <c r="P25" s="21">
        <v>2</v>
      </c>
      <c r="Q25" s="21">
        <v>3</v>
      </c>
    </row>
    <row r="26" spans="1:17" ht="15.6" customHeight="1" x14ac:dyDescent="0.3">
      <c r="A26" s="499"/>
      <c r="B26" s="60">
        <f>B6*$J$4</f>
        <v>30195</v>
      </c>
      <c r="C26" s="61">
        <f>C6*$J$4</f>
        <v>76977</v>
      </c>
      <c r="D26" s="66">
        <v>0.11</v>
      </c>
      <c r="E26" s="61">
        <f>(C26-B26)*D26</f>
        <v>5146.0200000000004</v>
      </c>
      <c r="F26" s="62"/>
      <c r="G26" s="500"/>
      <c r="H26" s="500"/>
      <c r="I26" s="500"/>
      <c r="J26" s="496"/>
      <c r="P26" s="21">
        <v>3</v>
      </c>
      <c r="Q26" s="21">
        <v>4</v>
      </c>
    </row>
    <row r="27" spans="1:17" ht="15.6" customHeight="1" x14ac:dyDescent="0.3">
      <c r="A27" s="499"/>
      <c r="B27" s="60">
        <f>B7*$J$4</f>
        <v>76980</v>
      </c>
      <c r="C27" s="61">
        <f>C7*$J$4</f>
        <v>220107</v>
      </c>
      <c r="D27" s="66">
        <f>0.3</f>
        <v>0.3</v>
      </c>
      <c r="E27" s="61">
        <f>(C27-B27)*D27</f>
        <v>42938.1</v>
      </c>
      <c r="F27" s="62">
        <f>E27+E26</f>
        <v>48084.119999999995</v>
      </c>
      <c r="G27" s="500"/>
      <c r="H27" s="500"/>
      <c r="I27" s="500"/>
      <c r="J27" s="496"/>
      <c r="P27" s="21">
        <v>4</v>
      </c>
      <c r="Q27" s="21">
        <v>5</v>
      </c>
    </row>
    <row r="28" spans="1:17" ht="15.6" customHeight="1" x14ac:dyDescent="0.3">
      <c r="A28" s="499"/>
      <c r="B28" s="60">
        <f>B8*$J$4</f>
        <v>220110</v>
      </c>
      <c r="C28" s="61">
        <f>C8*$J$4</f>
        <v>473418</v>
      </c>
      <c r="D28" s="66">
        <v>0.41</v>
      </c>
      <c r="E28" s="61">
        <f>(C28-B28)*D28</f>
        <v>103856.28</v>
      </c>
      <c r="F28" s="62">
        <f>SUM(E26:E28)</f>
        <v>151940.4</v>
      </c>
      <c r="G28" s="500"/>
      <c r="H28" s="500"/>
      <c r="I28" s="500"/>
      <c r="J28" s="496"/>
    </row>
    <row r="29" spans="1:17" ht="16.2" customHeight="1" thickBot="1" x14ac:dyDescent="0.35">
      <c r="A29" s="507"/>
      <c r="B29" s="63"/>
      <c r="C29" s="64"/>
      <c r="D29" s="67">
        <f>0.45</f>
        <v>0.45</v>
      </c>
      <c r="E29" s="64"/>
      <c r="F29" s="65"/>
      <c r="G29" s="501"/>
      <c r="H29" s="501"/>
      <c r="I29" s="501"/>
      <c r="J29" s="497"/>
    </row>
    <row r="30" spans="1:17" ht="15" thickBot="1" x14ac:dyDescent="0.35">
      <c r="A30" s="491"/>
      <c r="B30" s="491"/>
      <c r="C30" s="491"/>
      <c r="D30" s="491"/>
      <c r="E30" s="491"/>
      <c r="F30" s="491"/>
      <c r="G30" s="491"/>
      <c r="H30" s="491"/>
      <c r="I30" s="491"/>
      <c r="J30" s="491"/>
      <c r="O30" s="21">
        <f>IF(OR('Impôt 2021 revenus 2020'!C3="Célibataire",'Impôt 2021 revenus 2020'!C3="Concubinage",'Impôt 2021 revenus 2020'!C3="Divorcé",'Impôt 2021 revenus 2020'!C3="Veuf"), VLOOKUP('Impôt 2021 revenus 2020'!C4,P17:Q21, 2, FALSE) - IF('Etat Civil'!C20="Alternée",IF('Etat Civil'!C29=1,0.25,IF('Etat Civil'!C29=2,0.5,IF('Etat Civil'!C29=3,1,IF('Etat Civil'!C29=4,1.5,2)))),0), VLOOKUP('Impôt 2021 revenus 2020'!C4,P23:Q27, 2, FALSE))</f>
        <v>3</v>
      </c>
    </row>
    <row r="31" spans="1:17" ht="15" thickBot="1" x14ac:dyDescent="0.35">
      <c r="A31" s="483" t="s">
        <v>192</v>
      </c>
      <c r="B31" s="489"/>
      <c r="C31" s="489"/>
      <c r="D31" s="489"/>
      <c r="E31" s="489"/>
      <c r="F31" s="489"/>
      <c r="G31" s="484"/>
      <c r="H31" s="484"/>
      <c r="I31" s="484"/>
      <c r="J31" s="485"/>
    </row>
    <row r="32" spans="1:17" ht="16.2" customHeight="1" thickBot="1" x14ac:dyDescent="0.35">
      <c r="A32" s="492"/>
      <c r="B32" s="486"/>
      <c r="C32" s="487"/>
      <c r="D32" s="490"/>
      <c r="E32" s="68" t="s">
        <v>193</v>
      </c>
      <c r="F32" s="69" t="s">
        <v>194</v>
      </c>
      <c r="G32" s="498"/>
      <c r="H32" s="486" t="s">
        <v>173</v>
      </c>
      <c r="I32" s="488"/>
      <c r="J32" s="495"/>
    </row>
    <row r="33" spans="1:19" ht="15.6" customHeight="1" x14ac:dyDescent="0.3">
      <c r="A33" s="493"/>
      <c r="B33" s="70">
        <f>B5*2</f>
        <v>0</v>
      </c>
      <c r="C33" s="71">
        <f>C5*2</f>
        <v>20128</v>
      </c>
      <c r="D33" s="73">
        <v>0</v>
      </c>
      <c r="E33" s="71">
        <v>0</v>
      </c>
      <c r="F33" s="72"/>
      <c r="G33" s="499"/>
      <c r="H33" s="87" t="s">
        <v>195</v>
      </c>
      <c r="I33" s="90">
        <f>IF(J3&gt;=C37, (J3-C37)*D38+E37+E36+E34, IF(J3&gt;=C36, (J3-C36)*D37+E36+E34, IF(J3&gt;=C34, (J3-C34)*D36+E34, IF(J3&gt;=C33, (J3-C33)*D34, 0))))</f>
        <v>19220.28</v>
      </c>
      <c r="J33" s="496"/>
    </row>
    <row r="34" spans="1:19" ht="15.6" customHeight="1" x14ac:dyDescent="0.3">
      <c r="A34" s="493"/>
      <c r="B34" s="60">
        <f t="shared" ref="B34:C34" si="0">B6*2</f>
        <v>20130</v>
      </c>
      <c r="C34" s="61">
        <f t="shared" si="0"/>
        <v>51318</v>
      </c>
      <c r="D34" s="66">
        <v>0.11</v>
      </c>
      <c r="E34" s="61">
        <f>(C34-B34)*D34</f>
        <v>3430.68</v>
      </c>
      <c r="F34" s="62"/>
      <c r="G34" s="499"/>
      <c r="H34" s="88" t="s">
        <v>175</v>
      </c>
      <c r="I34" s="91">
        <f>IF(J3&gt;=C28, (J3-C28)*D29+E28+E27+E26, IF(J3&gt;=C27, (J3-C27)*D28+E27+E26, IF(J3&gt;=C26, (J3-C26)*D27+E26, IF(J3&gt;=C25, (J3-C25)*D26, 0))))</f>
        <v>13237.92</v>
      </c>
      <c r="J34" s="496"/>
      <c r="O34" s="21">
        <f>1196*1.01</f>
        <v>1207.96</v>
      </c>
    </row>
    <row r="35" spans="1:19" ht="15.6" customHeight="1" x14ac:dyDescent="0.3">
      <c r="A35" s="493"/>
      <c r="B35" s="60"/>
      <c r="C35" s="61"/>
      <c r="D35" s="66"/>
      <c r="E35" s="61"/>
      <c r="F35" s="62"/>
      <c r="G35" s="499"/>
      <c r="H35" s="88" t="s">
        <v>196</v>
      </c>
      <c r="I35" s="92">
        <f>IF('Impôt 2021 revenus 2020'!C5="Invalidité", 1,0)</f>
        <v>0</v>
      </c>
      <c r="J35" s="496"/>
      <c r="O35" s="21">
        <f>1970*(1+O36)</f>
        <v>1989.7</v>
      </c>
      <c r="R35" s="21">
        <f>1208-0.75*1000</f>
        <v>458</v>
      </c>
      <c r="S35" s="21">
        <v>1611</v>
      </c>
    </row>
    <row r="36" spans="1:19" ht="15.6" customHeight="1" x14ac:dyDescent="0.3">
      <c r="A36" s="493"/>
      <c r="B36" s="60">
        <f>B7*2</f>
        <v>51320</v>
      </c>
      <c r="C36" s="61">
        <f>C7*2</f>
        <v>146738</v>
      </c>
      <c r="D36" s="66">
        <v>0.3</v>
      </c>
      <c r="E36" s="61">
        <f>(C36-B36)*D36</f>
        <v>28625.399999999998</v>
      </c>
      <c r="F36" s="62">
        <f>E34+E36</f>
        <v>32056.079999999998</v>
      </c>
      <c r="G36" s="499"/>
      <c r="H36" s="88" t="s">
        <v>197</v>
      </c>
      <c r="I36" s="92">
        <f>MAX(0,IF('Impôt 2021 revenus 2020'!C5=0, (J4-2)*2, (J4-2)*2-1))</f>
        <v>2</v>
      </c>
      <c r="J36" s="496"/>
      <c r="O36" s="21">
        <v>0.01</v>
      </c>
      <c r="S36" s="21">
        <v>2653</v>
      </c>
    </row>
    <row r="37" spans="1:19" ht="15.6" customHeight="1" x14ac:dyDescent="0.3">
      <c r="A37" s="493"/>
      <c r="B37" s="60">
        <f>B8*2</f>
        <v>146740</v>
      </c>
      <c r="C37" s="61">
        <f>C8*2</f>
        <v>315612</v>
      </c>
      <c r="D37" s="66">
        <v>0.41</v>
      </c>
      <c r="E37" s="61">
        <f>(C37-B37)*D37</f>
        <v>69237.51999999999</v>
      </c>
      <c r="F37" s="62">
        <f>E34+E36+E37</f>
        <v>101293.59999999999</v>
      </c>
      <c r="G37" s="499"/>
      <c r="H37" s="88" t="s">
        <v>182</v>
      </c>
      <c r="I37" s="91">
        <f>I33-A17*I36-I35*A20</f>
        <v>16086.279999999999</v>
      </c>
      <c r="J37" s="496"/>
    </row>
    <row r="38" spans="1:19" ht="16.2" customHeight="1" thickBot="1" x14ac:dyDescent="0.35">
      <c r="A38" s="493"/>
      <c r="B38" s="63"/>
      <c r="C38" s="64"/>
      <c r="D38" s="67">
        <v>0.45</v>
      </c>
      <c r="E38" s="64"/>
      <c r="F38" s="65"/>
      <c r="G38" s="499"/>
      <c r="H38" s="88"/>
      <c r="I38" s="92"/>
      <c r="J38" s="496"/>
    </row>
    <row r="39" spans="1:19" ht="15.6" customHeight="1" x14ac:dyDescent="0.3">
      <c r="A39" s="493"/>
      <c r="B39" s="500"/>
      <c r="C39" s="500"/>
      <c r="D39" s="500"/>
      <c r="E39" s="500"/>
      <c r="F39" s="500"/>
      <c r="G39" s="500"/>
      <c r="H39" s="88" t="s">
        <v>187</v>
      </c>
      <c r="I39" s="91">
        <f>IF(I34&gt;I37, I34, I37)</f>
        <v>16086.279999999999</v>
      </c>
      <c r="J39" s="496"/>
    </row>
    <row r="40" spans="1:19" ht="15.6" customHeight="1" x14ac:dyDescent="0.3">
      <c r="A40" s="493"/>
      <c r="B40" s="500"/>
      <c r="C40" s="500"/>
      <c r="D40" s="500"/>
      <c r="E40" s="500"/>
      <c r="F40" s="500"/>
      <c r="G40" s="500"/>
      <c r="H40" s="88" t="s">
        <v>189</v>
      </c>
      <c r="I40" s="93">
        <f>IF(I39&lt;=2842, 1286-I39*0.4525, 0)</f>
        <v>0</v>
      </c>
      <c r="J40" s="496"/>
    </row>
    <row r="41" spans="1:19" ht="16.2" customHeight="1" thickBot="1" x14ac:dyDescent="0.35">
      <c r="A41" s="493"/>
      <c r="B41" s="500"/>
      <c r="C41" s="500"/>
      <c r="D41" s="500"/>
      <c r="E41" s="500"/>
      <c r="F41" s="500"/>
      <c r="G41" s="500"/>
      <c r="H41" s="89" t="s">
        <v>190</v>
      </c>
      <c r="I41" s="94">
        <f>IF(I40&gt;I39, 0, I39-I40)</f>
        <v>16086.279999999999</v>
      </c>
      <c r="J41" s="496"/>
    </row>
    <row r="42" spans="1:19" ht="16.2" customHeight="1" thickBot="1" x14ac:dyDescent="0.35">
      <c r="A42" s="494"/>
      <c r="B42" s="501"/>
      <c r="C42" s="501"/>
      <c r="D42" s="501"/>
      <c r="E42" s="501"/>
      <c r="F42" s="501"/>
      <c r="G42" s="501"/>
      <c r="H42" s="491"/>
      <c r="I42" s="491"/>
      <c r="J42" s="497"/>
    </row>
  </sheetData>
  <sheetProtection algorithmName="SHA-512" hashValue="5kwVQ++5n9OPPwpfPpYMjVZJQOOI33Civ115AXtyBQ0qi8jK3Q7vEnPxUcp6ui1oa9jvNULOO4GJaxGRDA21Xw==" saltValue="F1kg7TTTCcgJ9kIXxIF4kA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8" sqref="C8"/>
    </sheetView>
  </sheetViews>
  <sheetFormatPr baseColWidth="10" defaultColWidth="10.19921875" defaultRowHeight="14.4" x14ac:dyDescent="0.3"/>
  <cols>
    <col min="1" max="1" width="10.19921875" style="24"/>
    <col min="2" max="2" width="20.3984375" style="24" customWidth="1"/>
    <col min="3" max="3" width="26.09765625" style="24" customWidth="1"/>
    <col min="4" max="4" width="18.3984375" style="24" customWidth="1"/>
    <col min="5" max="16384" width="10.19921875" style="24"/>
  </cols>
  <sheetData>
    <row r="1" spans="1:29" ht="28.8" x14ac:dyDescent="0.55000000000000004">
      <c r="A1" s="508" t="s">
        <v>198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10"/>
      <c r="O1" s="511" t="s">
        <v>199</v>
      </c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</row>
    <row r="2" spans="1:29" ht="15.6" x14ac:dyDescent="0.3">
      <c r="A2" s="25"/>
      <c r="K2" s="514" t="s">
        <v>200</v>
      </c>
      <c r="L2" s="514"/>
      <c r="M2" s="514"/>
      <c r="N2" s="515"/>
      <c r="O2" s="513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</row>
    <row r="3" spans="1:29" ht="28.5" customHeight="1" x14ac:dyDescent="0.3">
      <c r="A3" s="26" t="s">
        <v>201</v>
      </c>
      <c r="B3" s="27"/>
      <c r="C3" s="28" t="str">
        <f>'Etat Civil'!C17</f>
        <v>Marié-Pacsé</v>
      </c>
      <c r="N3" s="29"/>
      <c r="O3" s="513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  <c r="AC3" s="512"/>
    </row>
    <row r="4" spans="1:29" ht="28.5" customHeight="1" x14ac:dyDescent="0.3">
      <c r="A4" s="26" t="s">
        <v>202</v>
      </c>
      <c r="B4" s="27"/>
      <c r="C4" s="28">
        <f>'Etat Civil'!C29</f>
        <v>2</v>
      </c>
      <c r="N4" s="29"/>
      <c r="O4" s="513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</row>
    <row r="5" spans="1:29" ht="28.5" customHeight="1" x14ac:dyDescent="0.3">
      <c r="A5" s="26" t="s">
        <v>32</v>
      </c>
      <c r="B5" s="27"/>
      <c r="C5" s="30">
        <f>'Etat Civil'!C19</f>
        <v>0</v>
      </c>
      <c r="D5" s="516" t="s">
        <v>203</v>
      </c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3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</row>
    <row r="6" spans="1:29" ht="28.5" customHeight="1" x14ac:dyDescent="0.3">
      <c r="A6" s="26"/>
      <c r="B6" s="27"/>
      <c r="C6" s="31"/>
      <c r="N6" s="29"/>
      <c r="O6" s="513"/>
      <c r="P6" s="512"/>
      <c r="Q6" s="512"/>
      <c r="R6" s="512"/>
      <c r="S6" s="512"/>
      <c r="T6" s="512"/>
      <c r="U6" s="512"/>
      <c r="V6" s="512"/>
      <c r="W6" s="512"/>
      <c r="X6" s="512"/>
      <c r="Y6" s="512"/>
      <c r="Z6" s="512"/>
      <c r="AA6" s="512"/>
      <c r="AB6" s="512"/>
      <c r="AC6" s="512"/>
    </row>
    <row r="7" spans="1:29" ht="28.5" hidden="1" customHeight="1" x14ac:dyDescent="0.3">
      <c r="A7" s="26"/>
      <c r="B7" s="27"/>
      <c r="C7" s="31"/>
      <c r="N7" s="29"/>
      <c r="O7" s="513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</row>
    <row r="8" spans="1:29" ht="28.5" customHeight="1" x14ac:dyDescent="0.3">
      <c r="A8" s="26" t="s">
        <v>204</v>
      </c>
      <c r="B8" s="27"/>
      <c r="C8" s="156">
        <f>'Calcul IR 2'!J3</f>
        <v>103950</v>
      </c>
      <c r="D8" s="517" t="s">
        <v>205</v>
      </c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3"/>
      <c r="P8" s="512"/>
      <c r="Q8" s="512"/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</row>
    <row r="9" spans="1:29" ht="28.5" customHeight="1" x14ac:dyDescent="0.3">
      <c r="A9" s="32"/>
      <c r="B9" s="27"/>
      <c r="C9" s="33"/>
      <c r="N9" s="29"/>
      <c r="O9" s="513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512"/>
      <c r="AB9" s="512"/>
      <c r="AC9" s="512"/>
    </row>
    <row r="10" spans="1:29" ht="28.5" customHeight="1" x14ac:dyDescent="0.3">
      <c r="A10" s="34" t="s">
        <v>206</v>
      </c>
      <c r="B10" s="35"/>
      <c r="C10" s="36">
        <f>IF(C5=0,'Calcul IR 2'!O30,'Calcul IR 2'!O30+0.5)</f>
        <v>3</v>
      </c>
      <c r="N10" s="29"/>
      <c r="O10" s="513"/>
      <c r="P10" s="512"/>
      <c r="Q10" s="512"/>
      <c r="R10" s="512"/>
      <c r="S10" s="512"/>
      <c r="T10" s="512"/>
      <c r="U10" s="512"/>
      <c r="V10" s="512"/>
      <c r="W10" s="512"/>
      <c r="X10" s="512"/>
      <c r="Y10" s="512"/>
      <c r="Z10" s="512"/>
      <c r="AA10" s="512"/>
      <c r="AB10" s="512"/>
      <c r="AC10" s="512"/>
    </row>
    <row r="11" spans="1:29" ht="28.5" customHeight="1" x14ac:dyDescent="0.3">
      <c r="A11" s="32"/>
      <c r="B11" s="27"/>
      <c r="C11" s="33"/>
      <c r="N11" s="29"/>
      <c r="O11" s="513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</row>
    <row r="12" spans="1:29" ht="28.5" customHeight="1" x14ac:dyDescent="0.3">
      <c r="A12" s="37" t="s">
        <v>207</v>
      </c>
      <c r="B12" s="38"/>
      <c r="C12" s="136">
        <f>IF(OR(C3="Célibataire",C3="Divorcé",C3="Veuf",C3="Concubinage"),'Calcul IR 2'!I20,'Calcul IR 2'!I39)</f>
        <v>16086.279999999999</v>
      </c>
      <c r="N12" s="29"/>
      <c r="O12" s="513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</row>
    <row r="13" spans="1:29" ht="28.5" customHeight="1" x14ac:dyDescent="0.3">
      <c r="A13" s="37" t="s">
        <v>189</v>
      </c>
      <c r="B13" s="38"/>
      <c r="C13" s="45">
        <f>IF(OR(C3="Célibataire",C3="Divorcé",C3="Veuf",C3="Concubinage"),'Calcul IR 2'!I21, 'Calcul IR 2'!I40)</f>
        <v>0</v>
      </c>
      <c r="D13" s="518" t="s">
        <v>208</v>
      </c>
      <c r="E13" s="518"/>
      <c r="F13" s="518"/>
      <c r="G13" s="518"/>
      <c r="H13" s="518"/>
      <c r="I13" s="518"/>
      <c r="J13" s="518"/>
      <c r="K13" s="518"/>
      <c r="L13" s="518"/>
      <c r="M13" s="518"/>
      <c r="N13" s="519"/>
      <c r="O13" s="513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</row>
    <row r="14" spans="1:29" ht="34.5" customHeight="1" x14ac:dyDescent="0.3">
      <c r="A14" s="39" t="s">
        <v>44</v>
      </c>
      <c r="B14" s="40"/>
      <c r="C14" s="41">
        <f>IF(OR(C3="Célibataire",C3="Divorcé",C3="Veuf",C3="Concubinage"),'Calcul IR 2'!I22, 'Calcul IR 2'!I41)</f>
        <v>16086.279999999999</v>
      </c>
      <c r="D14" s="135">
        <f>IF((C14-'Etat Civil'!G28)&lt;=0,0-'Etat Civil'!G29,C14-'Etat Civil'!G28-'Etat Civil'!G29)</f>
        <v>16086.279999999999</v>
      </c>
      <c r="N14" s="29"/>
      <c r="O14" s="513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512"/>
      <c r="AB14" s="512"/>
      <c r="AC14" s="512"/>
    </row>
    <row r="15" spans="1:29" x14ac:dyDescent="0.3">
      <c r="A15" s="520" t="s">
        <v>209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2"/>
      <c r="O15" s="513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512"/>
      <c r="AB15" s="512"/>
      <c r="AC15" s="512"/>
    </row>
    <row r="16" spans="1:29" x14ac:dyDescent="0.3">
      <c r="A16" s="25"/>
      <c r="N16" s="29"/>
      <c r="O16" s="513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512"/>
      <c r="AB16" s="512"/>
      <c r="AC16" s="512"/>
    </row>
    <row r="17" spans="1:29" hidden="1" x14ac:dyDescent="0.3">
      <c r="A17" s="25"/>
      <c r="N17" s="29"/>
      <c r="O17" s="513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512"/>
      <c r="AB17" s="512"/>
      <c r="AC17" s="512"/>
    </row>
    <row r="18" spans="1:29" ht="15" hidden="1" customHeight="1" x14ac:dyDescent="0.3">
      <c r="A18" s="25"/>
      <c r="N18" s="29"/>
      <c r="O18" s="513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13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</row>
  </sheetData>
  <sheetProtection algorithmName="SHA-512" hashValue="YfeYypQJw51q8moqcb8/KK2Qhnbs+HJEo9a8ZfCh9Mq5xlQWDMxZbw00h0okyzZTRX0FEmWd05NDZpIyprJvow==" saltValue="Zas5lBxUecp2txmBDGMuZ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19921875" defaultRowHeight="14.4" x14ac:dyDescent="0.3"/>
  <cols>
    <col min="1" max="1" width="10.19921875" style="21"/>
    <col min="2" max="2" width="11.8984375" style="21" bestFit="1" customWidth="1"/>
    <col min="3" max="3" width="12" style="21" bestFit="1" customWidth="1"/>
    <col min="4" max="4" width="10.19921875" style="21"/>
    <col min="5" max="5" width="11" style="21" bestFit="1" customWidth="1"/>
    <col min="6" max="6" width="11.8984375" style="21" bestFit="1" customWidth="1"/>
    <col min="7" max="7" width="4.59765625" style="21" customWidth="1"/>
    <col min="8" max="8" width="26" style="21" customWidth="1"/>
    <col min="9" max="9" width="10.8984375" style="21" bestFit="1" customWidth="1"/>
    <col min="10" max="10" width="11.8984375" style="21" bestFit="1" customWidth="1"/>
    <col min="11" max="14" width="10.19921875" style="21"/>
    <col min="15" max="15" width="24.19921875" style="21" customWidth="1"/>
    <col min="16" max="16384" width="10.19921875" style="21"/>
  </cols>
  <sheetData>
    <row r="1" spans="1:15" ht="15" thickBot="1" x14ac:dyDescent="0.35">
      <c r="A1" s="523" t="s">
        <v>210</v>
      </c>
      <c r="B1" s="524"/>
      <c r="C1" s="524"/>
      <c r="D1" s="524"/>
      <c r="E1" s="524"/>
      <c r="F1" s="524"/>
      <c r="G1" s="524"/>
      <c r="H1" s="524"/>
      <c r="I1" s="524"/>
      <c r="J1" s="525"/>
    </row>
    <row r="3" spans="1:15" x14ac:dyDescent="0.3">
      <c r="B3" s="500" t="s">
        <v>211</v>
      </c>
      <c r="C3" s="500"/>
      <c r="D3" s="500"/>
      <c r="E3" s="500"/>
      <c r="F3" s="500"/>
      <c r="H3" s="21" t="s">
        <v>168</v>
      </c>
      <c r="J3" s="138">
        <f>(('Etat Civil'!H8*'Prévision retraite'!B22)*0.9)+(('Etat Civil'!H13*'Prévision retraite'!B22)*0.9)+'Etat Civil'!H10*'Prévision retraite'!B22+'Etat Civil'!H15*'Prévision retraite'!B22+SUM('Prévision retraite'!F14:F17)*0.8</f>
        <v>51975</v>
      </c>
    </row>
    <row r="4" spans="1:15" x14ac:dyDescent="0.3">
      <c r="H4" s="21" t="s">
        <v>212</v>
      </c>
      <c r="J4" s="21">
        <f>'Prévision retraite'!C22</f>
        <v>2</v>
      </c>
      <c r="M4" s="21">
        <v>0</v>
      </c>
      <c r="O4" s="21" t="s">
        <v>170</v>
      </c>
    </row>
    <row r="5" spans="1:15" x14ac:dyDescent="0.3">
      <c r="B5" s="56">
        <v>0</v>
      </c>
      <c r="C5" s="56">
        <v>10064</v>
      </c>
      <c r="D5" s="22">
        <f>0</f>
        <v>0</v>
      </c>
      <c r="E5" s="56">
        <f>0</f>
        <v>0</v>
      </c>
      <c r="F5" s="56"/>
      <c r="M5" s="21">
        <v>1</v>
      </c>
      <c r="O5" s="21" t="s">
        <v>171</v>
      </c>
    </row>
    <row r="6" spans="1:15" x14ac:dyDescent="0.3">
      <c r="B6" s="56">
        <v>10065</v>
      </c>
      <c r="C6" s="56">
        <v>27794</v>
      </c>
      <c r="D6" s="22">
        <f>0.14</f>
        <v>0.14000000000000001</v>
      </c>
      <c r="E6" s="56">
        <f>(C6-B6)*D6</f>
        <v>2482.0600000000004</v>
      </c>
      <c r="F6" s="56"/>
      <c r="M6" s="21">
        <v>2</v>
      </c>
      <c r="O6" s="21" t="s">
        <v>172</v>
      </c>
    </row>
    <row r="7" spans="1:15" x14ac:dyDescent="0.3">
      <c r="B7" s="56">
        <v>27795</v>
      </c>
      <c r="C7" s="56">
        <v>74517</v>
      </c>
      <c r="D7" s="22">
        <f>0.3</f>
        <v>0.3</v>
      </c>
      <c r="E7" s="56">
        <f>(C7-B7)*0.3</f>
        <v>14016.6</v>
      </c>
      <c r="F7" s="56">
        <f>E7+E6</f>
        <v>16498.66</v>
      </c>
      <c r="M7" s="21">
        <v>3</v>
      </c>
    </row>
    <row r="8" spans="1:15" x14ac:dyDescent="0.3">
      <c r="B8" s="56">
        <v>74518</v>
      </c>
      <c r="C8" s="56">
        <v>157807</v>
      </c>
      <c r="D8" s="22">
        <v>0.41</v>
      </c>
      <c r="E8" s="56">
        <f>(C8-B8)*D8</f>
        <v>34148.49</v>
      </c>
      <c r="F8" s="56">
        <f>SUM(E6:E8)</f>
        <v>50647.149999999994</v>
      </c>
      <c r="M8" s="21">
        <v>4</v>
      </c>
    </row>
    <row r="9" spans="1:15" x14ac:dyDescent="0.3">
      <c r="D9" s="22">
        <f>0.45</f>
        <v>0.45</v>
      </c>
      <c r="M9" s="21">
        <v>5</v>
      </c>
    </row>
    <row r="10" spans="1:15" x14ac:dyDescent="0.3">
      <c r="H10" s="21" t="s">
        <v>213</v>
      </c>
      <c r="I10" s="56">
        <f>IF(J3&gt;=C8, (J3-C8)*D9+E8+E7+E6, IF(J3&gt;=C7, (J3-C7)*D8+E7+E6, IF(J3&gt;=C6, (J3-C6)*D7+E6, IF(J3&gt;=C5, (J3-C5)*D6, 0))))</f>
        <v>9736.36</v>
      </c>
    </row>
    <row r="11" spans="1:15" x14ac:dyDescent="0.3">
      <c r="B11" s="21" t="s">
        <v>214</v>
      </c>
      <c r="H11" s="21" t="s">
        <v>215</v>
      </c>
      <c r="I11" s="56">
        <f>IF(J3&gt;=C28, (J3-C28)*D29+E28+E27+E26, IF(J3&gt;=C27, (J3-C27)*D28+E27+E26, IF(J3&gt;=C26, (J3-C26)*D27+E26, IF(J3&gt;=C25, (J3-C25)*D26, 0))))</f>
        <v>4458.5800000000008</v>
      </c>
    </row>
    <row r="12" spans="1:15" x14ac:dyDescent="0.3">
      <c r="I12" s="23"/>
    </row>
    <row r="13" spans="1:15" x14ac:dyDescent="0.3">
      <c r="H13" s="21" t="s">
        <v>216</v>
      </c>
      <c r="I13" s="23">
        <f>IF('Impôt Retraite'!C5="Parent isolé (T)", 1,0)</f>
        <v>0</v>
      </c>
    </row>
    <row r="14" spans="1:15" x14ac:dyDescent="0.3">
      <c r="H14" s="21" t="s">
        <v>217</v>
      </c>
      <c r="I14" s="23">
        <f>IF('Impôt Retraite'!C5="Enfant élevé seul (L)", 1, 0)</f>
        <v>0</v>
      </c>
    </row>
    <row r="15" spans="1:15" x14ac:dyDescent="0.3">
      <c r="H15" s="21" t="s">
        <v>196</v>
      </c>
      <c r="I15" s="23">
        <f>IF('Impôt Retraite'!C5="Invalidité", 1,0)</f>
        <v>0</v>
      </c>
    </row>
    <row r="16" spans="1:15" ht="15" thickBot="1" x14ac:dyDescent="0.35">
      <c r="H16" s="21" t="s">
        <v>218</v>
      </c>
      <c r="I16" s="23">
        <f>IF('Impôt Retraite'!C5=0, (J4-1)*2, (J4-1)*2-1)</f>
        <v>2</v>
      </c>
    </row>
    <row r="17" spans="1:17" x14ac:dyDescent="0.3">
      <c r="A17" s="53">
        <v>1567</v>
      </c>
      <c r="B17" s="46" t="s">
        <v>219</v>
      </c>
      <c r="C17" s="46"/>
      <c r="D17" s="46"/>
      <c r="E17" s="46"/>
      <c r="F17" s="47"/>
      <c r="H17" s="21" t="s">
        <v>182</v>
      </c>
      <c r="I17" s="56">
        <f>I10-A17*I16-I13*A19-I14*A18-I15*A20</f>
        <v>6602.3600000000006</v>
      </c>
      <c r="O17" s="21" t="s">
        <v>183</v>
      </c>
      <c r="P17" s="21">
        <v>0</v>
      </c>
      <c r="Q17" s="21">
        <v>1</v>
      </c>
    </row>
    <row r="18" spans="1:17" x14ac:dyDescent="0.3">
      <c r="A18" s="54">
        <v>936</v>
      </c>
      <c r="B18" s="48" t="s">
        <v>184</v>
      </c>
      <c r="C18" s="48"/>
      <c r="D18" s="48"/>
      <c r="E18" s="48"/>
      <c r="F18" s="49"/>
      <c r="I18" s="23"/>
      <c r="P18" s="21">
        <v>1</v>
      </c>
      <c r="Q18" s="21">
        <v>1.5</v>
      </c>
    </row>
    <row r="19" spans="1:17" x14ac:dyDescent="0.3">
      <c r="A19" s="54">
        <f>3697-1567</f>
        <v>2130</v>
      </c>
      <c r="B19" s="48" t="s">
        <v>220</v>
      </c>
      <c r="C19" s="48"/>
      <c r="D19" s="48"/>
      <c r="E19" s="48"/>
      <c r="F19" s="49"/>
      <c r="I19" s="23"/>
      <c r="P19" s="21">
        <v>2</v>
      </c>
      <c r="Q19" s="21">
        <v>2</v>
      </c>
    </row>
    <row r="20" spans="1:17" x14ac:dyDescent="0.3">
      <c r="A20" s="54">
        <v>3129</v>
      </c>
      <c r="B20" s="48" t="s">
        <v>221</v>
      </c>
      <c r="C20" s="48"/>
      <c r="D20" s="48"/>
      <c r="E20" s="48"/>
      <c r="F20" s="49"/>
      <c r="H20" s="21" t="s">
        <v>187</v>
      </c>
      <c r="I20" s="56">
        <f>IF(I11&gt;I17, I11, I17)</f>
        <v>6602.3600000000006</v>
      </c>
      <c r="P20" s="21">
        <v>3</v>
      </c>
      <c r="Q20" s="21">
        <v>3</v>
      </c>
    </row>
    <row r="21" spans="1:17" ht="15" thickBot="1" x14ac:dyDescent="0.35">
      <c r="A21" s="50"/>
      <c r="B21" s="51" t="s">
        <v>222</v>
      </c>
      <c r="C21" s="51"/>
      <c r="D21" s="51"/>
      <c r="E21" s="51"/>
      <c r="F21" s="52"/>
      <c r="H21" s="21" t="s">
        <v>189</v>
      </c>
      <c r="I21" s="56">
        <f>IF(I20&lt;=1611, (1611*0.75-I20*0.75), 0)</f>
        <v>0</v>
      </c>
      <c r="P21" s="21">
        <v>4</v>
      </c>
      <c r="Q21" s="21">
        <v>4</v>
      </c>
    </row>
    <row r="22" spans="1:17" x14ac:dyDescent="0.3">
      <c r="H22" s="21" t="s">
        <v>190</v>
      </c>
      <c r="I22" s="56">
        <f>IF(I21&gt;I20, 0, I20-I21)</f>
        <v>6602.3600000000006</v>
      </c>
    </row>
    <row r="23" spans="1:17" x14ac:dyDescent="0.3">
      <c r="B23" s="500" t="s">
        <v>191</v>
      </c>
      <c r="C23" s="500"/>
      <c r="D23" s="500"/>
      <c r="E23" s="500"/>
      <c r="F23" s="500"/>
      <c r="O23" s="21" t="s">
        <v>26</v>
      </c>
      <c r="P23" s="21">
        <v>0</v>
      </c>
      <c r="Q23" s="21">
        <v>2</v>
      </c>
    </row>
    <row r="24" spans="1:17" x14ac:dyDescent="0.3">
      <c r="P24" s="21">
        <v>1</v>
      </c>
      <c r="Q24" s="21">
        <v>2.5</v>
      </c>
    </row>
    <row r="25" spans="1:17" x14ac:dyDescent="0.3">
      <c r="B25" s="56">
        <v>0</v>
      </c>
      <c r="C25" s="56">
        <f>C5*$J$4</f>
        <v>20128</v>
      </c>
      <c r="D25" s="22">
        <f>0</f>
        <v>0</v>
      </c>
      <c r="E25" s="56">
        <f>0</f>
        <v>0</v>
      </c>
      <c r="F25" s="56"/>
      <c r="P25" s="21">
        <v>2</v>
      </c>
      <c r="Q25" s="21">
        <v>3</v>
      </c>
    </row>
    <row r="26" spans="1:17" x14ac:dyDescent="0.3">
      <c r="B26" s="56">
        <f>B6*$J$4</f>
        <v>20130</v>
      </c>
      <c r="C26" s="56">
        <f>C6*$J$4</f>
        <v>55588</v>
      </c>
      <c r="D26" s="22">
        <f>0.14</f>
        <v>0.14000000000000001</v>
      </c>
      <c r="E26" s="56">
        <f>(C26-B26)*D26</f>
        <v>4964.1200000000008</v>
      </c>
      <c r="F26" s="56"/>
      <c r="P26" s="21">
        <v>3</v>
      </c>
      <c r="Q26" s="21">
        <v>4</v>
      </c>
    </row>
    <row r="27" spans="1:17" x14ac:dyDescent="0.3">
      <c r="B27" s="56">
        <f>B7*$J$4</f>
        <v>55590</v>
      </c>
      <c r="C27" s="56">
        <f>C7*$J$4</f>
        <v>149034</v>
      </c>
      <c r="D27" s="22">
        <f>0.3</f>
        <v>0.3</v>
      </c>
      <c r="E27" s="56">
        <f>(C27-B27)*0.3</f>
        <v>28033.200000000001</v>
      </c>
      <c r="F27" s="56">
        <f>E27+E26</f>
        <v>32997.32</v>
      </c>
      <c r="P27" s="21">
        <v>4</v>
      </c>
      <c r="Q27" s="21">
        <v>5</v>
      </c>
    </row>
    <row r="28" spans="1:17" x14ac:dyDescent="0.3">
      <c r="B28" s="56">
        <f>B8*$J$4</f>
        <v>149036</v>
      </c>
      <c r="C28" s="56">
        <f>C8*$J$4</f>
        <v>315614</v>
      </c>
      <c r="D28" s="22">
        <v>0.41</v>
      </c>
      <c r="E28" s="56">
        <f>(C28-B28)*D28</f>
        <v>68296.98</v>
      </c>
      <c r="F28" s="56">
        <f>SUM(E26:E28)</f>
        <v>101294.29999999999</v>
      </c>
    </row>
    <row r="29" spans="1:17" x14ac:dyDescent="0.3">
      <c r="D29" s="22">
        <f>0.45</f>
        <v>0.45</v>
      </c>
    </row>
    <row r="30" spans="1:17" ht="15" thickBot="1" x14ac:dyDescent="0.35">
      <c r="O30" s="21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Civil'!C20="Alternée",IF('Etat Civil'!G30=1,0.25,IF('Etat Civil'!G30=2,0.5,IF('Etat Civil'!G30=3,1,IF('Etat Civil'!G30=4,1.5,2)))),0)</f>
        <v>2</v>
      </c>
    </row>
    <row r="31" spans="1:17" ht="15" thickBot="1" x14ac:dyDescent="0.35">
      <c r="A31" s="523" t="s">
        <v>192</v>
      </c>
      <c r="B31" s="524"/>
      <c r="C31" s="524"/>
      <c r="D31" s="524"/>
      <c r="E31" s="524"/>
      <c r="F31" s="524"/>
      <c r="G31" s="524"/>
      <c r="H31" s="524"/>
      <c r="I31" s="524"/>
      <c r="J31" s="525"/>
    </row>
    <row r="32" spans="1:17" x14ac:dyDescent="0.3">
      <c r="A32" s="246"/>
      <c r="B32" s="246"/>
      <c r="C32" s="246"/>
      <c r="D32" s="246"/>
      <c r="E32" s="246"/>
      <c r="F32" s="246"/>
      <c r="G32" s="246"/>
      <c r="H32" s="246"/>
      <c r="I32" s="246"/>
      <c r="J32" s="246"/>
    </row>
    <row r="33" spans="2:19" x14ac:dyDescent="0.3">
      <c r="B33" s="56">
        <f>B5*2</f>
        <v>0</v>
      </c>
      <c r="C33" s="56">
        <f>C5*2</f>
        <v>20128</v>
      </c>
      <c r="D33" s="22">
        <v>0</v>
      </c>
      <c r="E33" s="56">
        <v>0</v>
      </c>
      <c r="F33" s="56"/>
      <c r="H33" s="21" t="s">
        <v>223</v>
      </c>
      <c r="I33" s="56">
        <f>IF(J3&gt;=C37, (J3-C37)*D38+E37+E36+E34, IF(J3&gt;=C36, (J3-C36)*D37+E36+E34, IF(J3&gt;=C34, (J3-C34)*D36+E34, IF(J3&gt;=C33, (J3-C33)*D34, 0))))</f>
        <v>4458.5800000000008</v>
      </c>
    </row>
    <row r="34" spans="2:19" x14ac:dyDescent="0.3">
      <c r="B34" s="56">
        <f t="shared" ref="B34:C34" si="0">B6*2</f>
        <v>20130</v>
      </c>
      <c r="C34" s="56">
        <f t="shared" si="0"/>
        <v>55588</v>
      </c>
      <c r="D34" s="22">
        <v>0.14000000000000001</v>
      </c>
      <c r="E34" s="56">
        <f>(C34-B34)*D34</f>
        <v>4964.1200000000008</v>
      </c>
      <c r="F34" s="56"/>
      <c r="H34" s="21" t="s">
        <v>215</v>
      </c>
      <c r="I34" s="56">
        <f>IF(J3&gt;=C28, (J3-C28)*D29+E28+E27+E26, IF(J3&gt;=C27, (J3-C27)*D28+E27+E26, IF(J3&gt;=C26, (J3-C26)*D27+E26, IF(J3&gt;=C25, (J3-C25)*D26, 0))))</f>
        <v>4458.5800000000008</v>
      </c>
      <c r="O34" s="21">
        <f>1196*1.01</f>
        <v>1207.96</v>
      </c>
    </row>
    <row r="35" spans="2:19" x14ac:dyDescent="0.3">
      <c r="B35" s="56"/>
      <c r="C35" s="56"/>
      <c r="D35" s="22"/>
      <c r="E35" s="56"/>
      <c r="F35" s="56"/>
      <c r="H35" s="21" t="s">
        <v>196</v>
      </c>
      <c r="I35" s="23">
        <f>IF('Impôt Retraite'!C5="Invalidité", 1,0)</f>
        <v>0</v>
      </c>
      <c r="O35" s="21">
        <f>1970*(1+O36)</f>
        <v>1989.7</v>
      </c>
      <c r="R35" s="21">
        <f>1208-0.75*1000</f>
        <v>458</v>
      </c>
      <c r="S35" s="21">
        <v>1611</v>
      </c>
    </row>
    <row r="36" spans="2:19" x14ac:dyDescent="0.3">
      <c r="B36" s="56">
        <f>B7*2</f>
        <v>55590</v>
      </c>
      <c r="C36" s="56">
        <f>C7*2</f>
        <v>149034</v>
      </c>
      <c r="D36" s="22">
        <v>0.3</v>
      </c>
      <c r="E36" s="56">
        <f>(C36-B36)*D36</f>
        <v>28033.200000000001</v>
      </c>
      <c r="F36" s="56">
        <f>E34+E36</f>
        <v>32997.32</v>
      </c>
      <c r="H36" s="21" t="s">
        <v>224</v>
      </c>
      <c r="I36" s="23">
        <f>MAX(0,IF('Impôt Retraite'!C5=0, (J4-2)*2, (J4-2)*2-1))</f>
        <v>0</v>
      </c>
      <c r="O36" s="21">
        <v>0.01</v>
      </c>
      <c r="S36" s="21">
        <v>2653</v>
      </c>
    </row>
    <row r="37" spans="2:19" x14ac:dyDescent="0.3">
      <c r="B37" s="56">
        <f>B8*2</f>
        <v>149036</v>
      </c>
      <c r="C37" s="56">
        <f>C8*2</f>
        <v>315614</v>
      </c>
      <c r="D37" s="22">
        <v>0.41</v>
      </c>
      <c r="E37" s="56">
        <f>(C37-B37)*D37</f>
        <v>68296.98</v>
      </c>
      <c r="F37" s="56">
        <f>E34+E36+E37</f>
        <v>101294.29999999999</v>
      </c>
      <c r="H37" s="21" t="s">
        <v>182</v>
      </c>
      <c r="I37" s="56">
        <f>I33-A17*I36-I35*A20</f>
        <v>4458.5800000000008</v>
      </c>
    </row>
    <row r="38" spans="2:19" x14ac:dyDescent="0.3">
      <c r="D38" s="22">
        <v>0.45</v>
      </c>
      <c r="I38" s="56"/>
    </row>
    <row r="39" spans="2:19" x14ac:dyDescent="0.3">
      <c r="H39" s="21" t="s">
        <v>187</v>
      </c>
      <c r="I39" s="56">
        <f>IF(I34&gt;I37, I34, I37)</f>
        <v>4458.5800000000008</v>
      </c>
    </row>
    <row r="40" spans="2:19" x14ac:dyDescent="0.3">
      <c r="H40" s="21" t="s">
        <v>189</v>
      </c>
      <c r="I40" s="56">
        <f>IF(I39&lt;=2653, 2653*0.75-I39*0.75, 0)</f>
        <v>0</v>
      </c>
    </row>
    <row r="41" spans="2:19" x14ac:dyDescent="0.3">
      <c r="H41" s="21" t="s">
        <v>190</v>
      </c>
      <c r="I41" s="56">
        <f>IF(I40&gt;I39, 0, I39-I40)</f>
        <v>4458.5800000000008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19921875" defaultRowHeight="14.4" x14ac:dyDescent="0.3"/>
  <cols>
    <col min="1" max="1" width="10.19921875" style="24"/>
    <col min="2" max="2" width="20.3984375" style="24" customWidth="1"/>
    <col min="3" max="3" width="26.09765625" style="24" customWidth="1"/>
    <col min="4" max="4" width="15.69921875" style="24" bestFit="1" customWidth="1"/>
    <col min="5" max="16384" width="10.19921875" style="24"/>
  </cols>
  <sheetData>
    <row r="1" spans="1:29" ht="28.8" x14ac:dyDescent="0.55000000000000004">
      <c r="A1" s="508" t="s">
        <v>198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10"/>
      <c r="O1" s="511" t="s">
        <v>199</v>
      </c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</row>
    <row r="2" spans="1:29" ht="15.6" x14ac:dyDescent="0.3">
      <c r="A2" s="25"/>
      <c r="K2" s="514" t="s">
        <v>200</v>
      </c>
      <c r="L2" s="514"/>
      <c r="M2" s="514"/>
      <c r="N2" s="515"/>
      <c r="O2" s="513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  <c r="AC2" s="512"/>
    </row>
    <row r="3" spans="1:29" ht="28.5" customHeight="1" x14ac:dyDescent="0.3">
      <c r="A3" s="26" t="s">
        <v>201</v>
      </c>
      <c r="B3" s="27"/>
      <c r="C3" s="28" t="str">
        <f>'Etat Civil'!C17</f>
        <v>Marié-Pacsé</v>
      </c>
      <c r="N3" s="29"/>
      <c r="O3" s="513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  <c r="AC3" s="512"/>
    </row>
    <row r="4" spans="1:29" ht="28.5" customHeight="1" x14ac:dyDescent="0.3">
      <c r="A4" s="26" t="s">
        <v>202</v>
      </c>
      <c r="B4" s="27"/>
      <c r="C4" s="28">
        <v>0</v>
      </c>
      <c r="N4" s="29"/>
      <c r="O4" s="513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</row>
    <row r="5" spans="1:29" ht="28.5" customHeight="1" x14ac:dyDescent="0.3">
      <c r="A5" s="26" t="s">
        <v>32</v>
      </c>
      <c r="B5" s="27"/>
      <c r="C5" s="30">
        <f>IF('Etat Civil'!C19="Parent isolé (T)",0,'Etat Civil'!C19)</f>
        <v>0</v>
      </c>
      <c r="D5" s="516" t="s">
        <v>203</v>
      </c>
      <c r="E5" s="516"/>
      <c r="F5" s="516"/>
      <c r="G5" s="516"/>
      <c r="H5" s="516"/>
      <c r="I5" s="516"/>
      <c r="J5" s="516"/>
      <c r="K5" s="516"/>
      <c r="L5" s="516"/>
      <c r="M5" s="516"/>
      <c r="N5" s="516"/>
      <c r="O5" s="513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</row>
    <row r="6" spans="1:29" ht="28.5" customHeight="1" x14ac:dyDescent="0.3">
      <c r="A6" s="26"/>
      <c r="B6" s="27"/>
      <c r="C6" s="31"/>
      <c r="N6" s="29"/>
      <c r="O6" s="513"/>
      <c r="P6" s="512"/>
      <c r="Q6" s="512"/>
      <c r="R6" s="512"/>
      <c r="S6" s="512"/>
      <c r="T6" s="512"/>
      <c r="U6" s="512"/>
      <c r="V6" s="512"/>
      <c r="W6" s="512"/>
      <c r="X6" s="512"/>
      <c r="Y6" s="512"/>
      <c r="Z6" s="512"/>
      <c r="AA6" s="512"/>
      <c r="AB6" s="512"/>
      <c r="AC6" s="512"/>
    </row>
    <row r="7" spans="1:29" ht="28.5" hidden="1" customHeight="1" x14ac:dyDescent="0.3">
      <c r="A7" s="26"/>
      <c r="B7" s="27"/>
      <c r="C7" s="31"/>
      <c r="N7" s="29"/>
      <c r="O7" s="513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</row>
    <row r="8" spans="1:29" ht="28.5" customHeight="1" x14ac:dyDescent="0.3">
      <c r="A8" s="26" t="s">
        <v>204</v>
      </c>
      <c r="B8" s="27"/>
      <c r="C8" s="156">
        <f>'Calcul IR Bis Retraite'!J3</f>
        <v>51975</v>
      </c>
      <c r="D8" s="517" t="s">
        <v>205</v>
      </c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3"/>
      <c r="P8" s="512"/>
      <c r="Q8" s="512"/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</row>
    <row r="9" spans="1:29" ht="28.5" customHeight="1" x14ac:dyDescent="0.3">
      <c r="A9" s="32"/>
      <c r="B9" s="27"/>
      <c r="C9" s="33"/>
      <c r="N9" s="29"/>
      <c r="O9" s="513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512"/>
      <c r="AB9" s="512"/>
      <c r="AC9" s="512"/>
    </row>
    <row r="10" spans="1:29" ht="28.5" customHeight="1" x14ac:dyDescent="0.3">
      <c r="A10" s="34" t="s">
        <v>206</v>
      </c>
      <c r="B10" s="35"/>
      <c r="C10" s="36">
        <f>IF(C5=0,'Calcul IR Bis Retraite'!O30,'Calcul IR Bis Retraite'!O30+0.5)</f>
        <v>2</v>
      </c>
      <c r="N10" s="29"/>
      <c r="O10" s="513"/>
      <c r="P10" s="512"/>
      <c r="Q10" s="512"/>
      <c r="R10" s="512"/>
      <c r="S10" s="512"/>
      <c r="T10" s="512"/>
      <c r="U10" s="512"/>
      <c r="V10" s="512"/>
      <c r="W10" s="512"/>
      <c r="X10" s="512"/>
      <c r="Y10" s="512"/>
      <c r="Z10" s="512"/>
      <c r="AA10" s="512"/>
      <c r="AB10" s="512"/>
      <c r="AC10" s="512"/>
    </row>
    <row r="11" spans="1:29" ht="28.5" customHeight="1" x14ac:dyDescent="0.3">
      <c r="A11" s="32"/>
      <c r="B11" s="27"/>
      <c r="C11" s="33"/>
      <c r="N11" s="29"/>
      <c r="O11" s="513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</row>
    <row r="12" spans="1:29" ht="28.5" customHeight="1" x14ac:dyDescent="0.3">
      <c r="A12" s="37" t="s">
        <v>207</v>
      </c>
      <c r="B12" s="38"/>
      <c r="C12" s="136">
        <f>IF(OR(C3="Célibataire",C3="Divorcé",C3="Veuf",C3="Concubinage"),'Calcul IR Bis Retraite'!I20, 'Calcul IR Bis Retraite'!I39)</f>
        <v>4458.5800000000008</v>
      </c>
      <c r="N12" s="29"/>
      <c r="O12" s="513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</row>
    <row r="13" spans="1:29" ht="28.5" customHeight="1" x14ac:dyDescent="0.3">
      <c r="A13" s="37" t="s">
        <v>189</v>
      </c>
      <c r="B13" s="38"/>
      <c r="C13" s="45">
        <f>IF(OR(C3="Célibataire",C3="Divorcé",C3="Veuf",C3="Concubinage"),'Calcul IR Bis Retraite'!I21, 'Calcul IR Bis Retraite'!I40)</f>
        <v>0</v>
      </c>
      <c r="D13" s="518" t="s">
        <v>225</v>
      </c>
      <c r="E13" s="518"/>
      <c r="F13" s="518"/>
      <c r="G13" s="518"/>
      <c r="H13" s="518"/>
      <c r="I13" s="518"/>
      <c r="J13" s="518"/>
      <c r="K13" s="518"/>
      <c r="L13" s="518"/>
      <c r="M13" s="518"/>
      <c r="N13" s="519"/>
      <c r="O13" s="513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</row>
    <row r="14" spans="1:29" ht="34.5" customHeight="1" x14ac:dyDescent="0.3">
      <c r="A14" s="39" t="s">
        <v>44</v>
      </c>
      <c r="B14" s="40"/>
      <c r="C14" s="41">
        <f>IF(OR(C3="Célibataire",C3="Divorcé",C3="Veuf",C3="Concubinage"),'Calcul IR Bis Retraite'!I22, 'Calcul IR Bis Retraite'!I41)</f>
        <v>4458.5800000000008</v>
      </c>
      <c r="D14" s="137">
        <f>C14</f>
        <v>4458.5800000000008</v>
      </c>
      <c r="N14" s="29"/>
      <c r="O14" s="513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512"/>
      <c r="AB14" s="512"/>
      <c r="AC14" s="512"/>
    </row>
    <row r="15" spans="1:29" x14ac:dyDescent="0.3">
      <c r="A15" s="520" t="s">
        <v>209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2"/>
      <c r="O15" s="513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512"/>
      <c r="AB15" s="512"/>
      <c r="AC15" s="512"/>
    </row>
    <row r="16" spans="1:29" x14ac:dyDescent="0.3">
      <c r="A16" s="25"/>
      <c r="N16" s="29"/>
      <c r="O16" s="513"/>
      <c r="P16" s="512"/>
      <c r="Q16" s="512"/>
      <c r="R16" s="512"/>
      <c r="S16" s="512"/>
      <c r="T16" s="512"/>
      <c r="U16" s="512"/>
      <c r="V16" s="512"/>
      <c r="W16" s="512"/>
      <c r="X16" s="512"/>
      <c r="Y16" s="512"/>
      <c r="Z16" s="512"/>
      <c r="AA16" s="512"/>
      <c r="AB16" s="512"/>
      <c r="AC16" s="512"/>
    </row>
    <row r="17" spans="1:29" hidden="1" x14ac:dyDescent="0.3">
      <c r="A17" s="25"/>
      <c r="N17" s="29"/>
      <c r="O17" s="513"/>
      <c r="P17" s="512"/>
      <c r="Q17" s="512"/>
      <c r="R17" s="512"/>
      <c r="S17" s="512"/>
      <c r="T17" s="512"/>
      <c r="U17" s="512"/>
      <c r="V17" s="512"/>
      <c r="W17" s="512"/>
      <c r="X17" s="512"/>
      <c r="Y17" s="512"/>
      <c r="Z17" s="512"/>
      <c r="AA17" s="512"/>
      <c r="AB17" s="512"/>
      <c r="AC17" s="512"/>
    </row>
    <row r="18" spans="1:29" ht="15" hidden="1" customHeight="1" x14ac:dyDescent="0.3">
      <c r="A18" s="25"/>
      <c r="N18" s="29"/>
      <c r="O18" s="513"/>
      <c r="P18" s="512"/>
      <c r="Q18" s="512"/>
      <c r="R18" s="512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</row>
    <row r="19" spans="1:29" ht="15" thickBot="1" x14ac:dyDescent="0.35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513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55" zoomScaleNormal="55" workbookViewId="0">
      <selection activeCell="B4" sqref="B4:N31"/>
    </sheetView>
  </sheetViews>
  <sheetFormatPr baseColWidth="10" defaultColWidth="11" defaultRowHeight="15.6" x14ac:dyDescent="0.3"/>
  <cols>
    <col min="1" max="1" width="4.5" customWidth="1"/>
  </cols>
  <sheetData>
    <row r="2" spans="2:14" ht="1.2" customHeight="1" x14ac:dyDescent="0.3"/>
    <row r="4" spans="2:14" ht="28.95" customHeight="1" x14ac:dyDescent="0.3">
      <c r="B4" s="302" t="s">
        <v>0</v>
      </c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3" t="s">
        <v>1</v>
      </c>
      <c r="N4" s="303"/>
    </row>
    <row r="5" spans="2:14" ht="16.2" customHeight="1" x14ac:dyDescent="0.3"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3"/>
      <c r="N5" s="303"/>
    </row>
    <row r="6" spans="2:14" x14ac:dyDescent="0.3">
      <c r="M6" s="16"/>
    </row>
    <row r="7" spans="2:14" ht="21" x14ac:dyDescent="0.4">
      <c r="E7" s="301" t="s">
        <v>2</v>
      </c>
      <c r="F7" s="301"/>
      <c r="G7" s="301"/>
      <c r="H7" s="301"/>
      <c r="I7" s="301"/>
      <c r="J7" s="301"/>
      <c r="K7" s="301"/>
    </row>
    <row r="8" spans="2:14" ht="21" x14ac:dyDescent="0.4">
      <c r="E8" s="1"/>
      <c r="F8" s="1"/>
      <c r="G8" s="1"/>
      <c r="H8" s="235" t="s">
        <v>3</v>
      </c>
      <c r="I8" s="1"/>
      <c r="J8" s="1"/>
      <c r="K8" s="1"/>
    </row>
    <row r="9" spans="2:14" ht="21" x14ac:dyDescent="0.4">
      <c r="E9" s="1"/>
      <c r="F9" s="301" t="s">
        <v>4</v>
      </c>
      <c r="G9" s="301"/>
      <c r="H9" s="301"/>
      <c r="I9" s="301"/>
      <c r="J9" s="301"/>
      <c r="K9" s="1"/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4"/>
  <sheetViews>
    <sheetView showGridLines="0" tabSelected="1" zoomScale="87" zoomScaleNormal="115" workbookViewId="0">
      <selection activeCell="C13" sqref="C13:E13"/>
    </sheetView>
  </sheetViews>
  <sheetFormatPr baseColWidth="10" defaultColWidth="11" defaultRowHeight="15.6" x14ac:dyDescent="0.3"/>
  <cols>
    <col min="1" max="1" width="2.69921875" customWidth="1"/>
    <col min="2" max="2" width="22.8984375" customWidth="1"/>
    <col min="3" max="3" width="9" customWidth="1"/>
    <col min="4" max="4" width="29.19921875" customWidth="1"/>
    <col min="5" max="5" width="3.3984375" customWidth="1"/>
    <col min="6" max="6" width="18.19921875" customWidth="1"/>
    <col min="7" max="7" width="16.19921875" customWidth="1"/>
    <col min="8" max="8" width="16.8984375" customWidth="1"/>
    <col min="10" max="10" width="0" hidden="1" customWidth="1"/>
  </cols>
  <sheetData>
    <row r="1" spans="2:10" ht="3" customHeight="1" thickBot="1" x14ac:dyDescent="0.35"/>
    <row r="2" spans="2:10" ht="19.95" customHeight="1" x14ac:dyDescent="0.3">
      <c r="B2" s="308" t="s">
        <v>5</v>
      </c>
      <c r="C2" s="309"/>
      <c r="D2" s="309"/>
      <c r="E2" s="309"/>
      <c r="F2" s="309"/>
      <c r="G2" s="309"/>
      <c r="H2" s="310"/>
    </row>
    <row r="3" spans="2:10" ht="19.95" customHeight="1" thickBot="1" x14ac:dyDescent="0.35">
      <c r="B3" s="311"/>
      <c r="C3" s="312"/>
      <c r="D3" s="312"/>
      <c r="E3" s="312"/>
      <c r="F3" s="312"/>
      <c r="G3" s="312"/>
      <c r="H3" s="313"/>
    </row>
    <row r="4" spans="2:10" ht="3.6" customHeight="1" thickBot="1" x14ac:dyDescent="0.35"/>
    <row r="5" spans="2:10" ht="16.2" thickBot="1" x14ac:dyDescent="0.35">
      <c r="F5" s="321" t="s">
        <v>6</v>
      </c>
      <c r="G5" s="322"/>
      <c r="H5" s="322"/>
    </row>
    <row r="6" spans="2:10" ht="4.95" customHeight="1" thickBot="1" x14ac:dyDescent="0.35"/>
    <row r="7" spans="2:10" ht="16.2" thickBot="1" x14ac:dyDescent="0.35">
      <c r="B7" s="2" t="s">
        <v>7</v>
      </c>
      <c r="C7" s="316" t="s">
        <v>8</v>
      </c>
      <c r="D7" s="316"/>
      <c r="E7" s="317"/>
      <c r="F7" s="286" t="s">
        <v>9</v>
      </c>
      <c r="G7" s="279" t="s">
        <v>10</v>
      </c>
      <c r="H7" s="287" t="s">
        <v>11</v>
      </c>
      <c r="J7" t="s">
        <v>12</v>
      </c>
    </row>
    <row r="8" spans="2:10" x14ac:dyDescent="0.3">
      <c r="B8" s="3" t="s">
        <v>13</v>
      </c>
      <c r="C8" s="323" t="s">
        <v>229</v>
      </c>
      <c r="D8" s="314"/>
      <c r="E8" s="315"/>
      <c r="F8" s="175" t="s">
        <v>14</v>
      </c>
      <c r="G8" s="139">
        <v>80000</v>
      </c>
      <c r="H8" s="143">
        <f>G8*0.77</f>
        <v>61600</v>
      </c>
      <c r="J8" t="s">
        <v>15</v>
      </c>
    </row>
    <row r="9" spans="2:10" x14ac:dyDescent="0.3">
      <c r="B9" s="3" t="s">
        <v>16</v>
      </c>
      <c r="C9" s="314" t="s">
        <v>226</v>
      </c>
      <c r="D9" s="314"/>
      <c r="E9" s="315"/>
      <c r="F9" s="176" t="s">
        <v>17</v>
      </c>
      <c r="G9" s="141"/>
      <c r="H9" s="95">
        <f>IF(ISNUMBER(G9),G9*0.7,0)</f>
        <v>0</v>
      </c>
    </row>
    <row r="10" spans="2:10" ht="16.2" thickBot="1" x14ac:dyDescent="0.35">
      <c r="B10" s="289" t="s">
        <v>18</v>
      </c>
      <c r="C10" s="326" t="s">
        <v>19</v>
      </c>
      <c r="D10" s="326"/>
      <c r="E10" s="327"/>
      <c r="F10" s="17" t="s">
        <v>20</v>
      </c>
      <c r="G10" s="18"/>
      <c r="H10" s="177"/>
    </row>
    <row r="11" spans="2:10" ht="7.2" customHeight="1" thickBot="1" x14ac:dyDescent="0.35"/>
    <row r="12" spans="2:10" ht="16.2" thickBot="1" x14ac:dyDescent="0.35">
      <c r="B12" s="2" t="s">
        <v>21</v>
      </c>
      <c r="C12" s="316" t="s">
        <v>22</v>
      </c>
      <c r="D12" s="316"/>
      <c r="E12" s="317"/>
      <c r="F12" s="280" t="s">
        <v>9</v>
      </c>
      <c r="G12" s="272" t="s">
        <v>10</v>
      </c>
      <c r="H12" s="273" t="s">
        <v>11</v>
      </c>
    </row>
    <row r="13" spans="2:10" x14ac:dyDescent="0.3">
      <c r="B13" s="3" t="s">
        <v>13</v>
      </c>
      <c r="C13" s="323" t="s">
        <v>230</v>
      </c>
      <c r="D13" s="314"/>
      <c r="E13" s="315"/>
      <c r="F13" s="266" t="s">
        <v>14</v>
      </c>
      <c r="G13" s="267">
        <v>70000</v>
      </c>
      <c r="H13" s="268">
        <f>G13*0.77</f>
        <v>53900</v>
      </c>
    </row>
    <row r="14" spans="2:10" x14ac:dyDescent="0.3">
      <c r="B14" s="3" t="s">
        <v>16</v>
      </c>
      <c r="C14" s="314" t="s">
        <v>23</v>
      </c>
      <c r="D14" s="314"/>
      <c r="E14" s="315"/>
      <c r="F14" s="176" t="s">
        <v>17</v>
      </c>
      <c r="G14" s="141"/>
      <c r="H14" s="95">
        <f>IF(ISNUMBER(G14),G14*0.7,0)</f>
        <v>0</v>
      </c>
    </row>
    <row r="15" spans="2:10" ht="16.2" thickBot="1" x14ac:dyDescent="0.35">
      <c r="B15" s="289" t="s">
        <v>18</v>
      </c>
      <c r="C15" s="326" t="s">
        <v>24</v>
      </c>
      <c r="D15" s="326"/>
      <c r="E15" s="327"/>
      <c r="F15" s="17" t="s">
        <v>20</v>
      </c>
      <c r="G15" s="18"/>
      <c r="H15" s="177">
        <v>0</v>
      </c>
    </row>
    <row r="16" spans="2:10" ht="4.95" customHeight="1" thickBot="1" x14ac:dyDescent="0.35"/>
    <row r="17" spans="2:11" ht="16.2" thickBot="1" x14ac:dyDescent="0.35">
      <c r="B17" s="2" t="s">
        <v>25</v>
      </c>
      <c r="C17" s="316" t="s">
        <v>26</v>
      </c>
      <c r="D17" s="316"/>
      <c r="E17" s="317"/>
      <c r="F17" s="286" t="s">
        <v>27</v>
      </c>
      <c r="G17" s="279" t="s">
        <v>28</v>
      </c>
      <c r="H17" s="287" t="s">
        <v>29</v>
      </c>
    </row>
    <row r="18" spans="2:11" x14ac:dyDescent="0.3">
      <c r="B18" s="3" t="s">
        <v>30</v>
      </c>
      <c r="C18" s="314" t="s">
        <v>31</v>
      </c>
      <c r="D18" s="314"/>
      <c r="E18" s="315"/>
      <c r="F18" s="178" t="s">
        <v>12</v>
      </c>
      <c r="G18" s="140"/>
      <c r="H18" s="179"/>
    </row>
    <row r="19" spans="2:11" ht="16.2" customHeight="1" thickBot="1" x14ac:dyDescent="0.35">
      <c r="B19" s="3" t="s">
        <v>32</v>
      </c>
      <c r="C19" s="314"/>
      <c r="D19" s="314"/>
      <c r="E19" s="315"/>
      <c r="F19" s="17" t="s">
        <v>33</v>
      </c>
      <c r="G19" s="19"/>
      <c r="H19" s="180">
        <f>G19*0.8</f>
        <v>0</v>
      </c>
    </row>
    <row r="20" spans="2:11" ht="17.399999999999999" customHeight="1" thickBot="1" x14ac:dyDescent="0.35">
      <c r="B20" s="174" t="s">
        <v>34</v>
      </c>
      <c r="C20" s="324"/>
      <c r="D20" s="324"/>
      <c r="E20" s="325"/>
      <c r="F20" s="304" t="s">
        <v>35</v>
      </c>
      <c r="G20" s="305"/>
      <c r="H20" s="158">
        <f>SUM(H8:H10)+SUM(H13:H15)+SUM(H18:H19)</f>
        <v>115500</v>
      </c>
    </row>
    <row r="21" spans="2:11" ht="12" customHeight="1" thickBot="1" x14ac:dyDescent="0.35">
      <c r="B21" s="151"/>
      <c r="C21" s="152"/>
      <c r="D21" s="152"/>
      <c r="E21" s="155"/>
      <c r="F21" s="153"/>
      <c r="G21" s="153"/>
      <c r="H21" s="154"/>
    </row>
    <row r="22" spans="2:11" ht="16.2" thickBot="1" x14ac:dyDescent="0.35">
      <c r="B22" s="318" t="s">
        <v>36</v>
      </c>
      <c r="C22" s="319"/>
      <c r="D22" s="320"/>
      <c r="F22" s="318" t="s">
        <v>37</v>
      </c>
      <c r="G22" s="319"/>
      <c r="H22" s="319"/>
    </row>
    <row r="23" spans="2:11" ht="4.95" customHeight="1" thickBot="1" x14ac:dyDescent="0.35"/>
    <row r="24" spans="2:11" ht="16.2" thickBot="1" x14ac:dyDescent="0.35">
      <c r="B24" s="286" t="s">
        <v>38</v>
      </c>
      <c r="C24" s="279" t="s">
        <v>39</v>
      </c>
      <c r="D24" s="287" t="s">
        <v>40</v>
      </c>
      <c r="F24" s="101" t="s">
        <v>41</v>
      </c>
      <c r="G24" s="143">
        <f>'Impôt 2021 revenus 2020'!C8</f>
        <v>103950</v>
      </c>
      <c r="H24" s="288" t="s">
        <v>42</v>
      </c>
    </row>
    <row r="25" spans="2:11" ht="16.2" thickBot="1" x14ac:dyDescent="0.35">
      <c r="B25" s="96" t="s">
        <v>43</v>
      </c>
      <c r="C25" s="239">
        <v>17</v>
      </c>
      <c r="D25" s="298">
        <v>39122</v>
      </c>
      <c r="F25" s="102" t="s">
        <v>44</v>
      </c>
      <c r="G25" s="95">
        <f>'Impôt 2021 revenus 2020'!D14</f>
        <v>16086.279999999999</v>
      </c>
      <c r="H25" s="171">
        <f>IF(AND(C17="Marié-Pacsé",'Calcul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2'!D34,0%)))),IF(AND(OR(C17="Célibataire",C17="Divorcé",C17="Veuf",C17="Concubinage"),'Calcul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26" spans="2:11" x14ac:dyDescent="0.3">
      <c r="B26" s="97" t="s">
        <v>45</v>
      </c>
      <c r="C26" s="242">
        <v>8</v>
      </c>
      <c r="D26" s="299">
        <v>42349</v>
      </c>
      <c r="F26" s="102" t="s">
        <v>46</v>
      </c>
      <c r="G26" s="95">
        <f>H18*0.172</f>
        <v>0</v>
      </c>
      <c r="H26" s="148"/>
    </row>
    <row r="27" spans="2:11" x14ac:dyDescent="0.3">
      <c r="B27" s="97"/>
      <c r="C27" s="242"/>
      <c r="D27" s="98"/>
      <c r="F27" s="102" t="s">
        <v>47</v>
      </c>
      <c r="G27" s="144">
        <v>0</v>
      </c>
      <c r="H27" s="148"/>
    </row>
    <row r="28" spans="2:11" ht="16.2" thickBot="1" x14ac:dyDescent="0.35">
      <c r="B28" s="99"/>
      <c r="C28" s="237"/>
      <c r="D28" s="100"/>
      <c r="F28" s="102" t="s">
        <v>48</v>
      </c>
      <c r="G28" s="145">
        <v>0</v>
      </c>
      <c r="H28" s="148"/>
    </row>
    <row r="29" spans="2:11" ht="16.2" thickBot="1" x14ac:dyDescent="0.35">
      <c r="B29" s="169" t="s">
        <v>49</v>
      </c>
      <c r="C29" s="170">
        <v>2</v>
      </c>
      <c r="D29" s="149"/>
      <c r="F29" s="159" t="s">
        <v>50</v>
      </c>
      <c r="G29" s="160">
        <v>0</v>
      </c>
    </row>
    <row r="30" spans="2:11" ht="9.6" customHeight="1" thickBot="1" x14ac:dyDescent="0.35">
      <c r="B30" s="149"/>
      <c r="C30" s="150"/>
      <c r="D30" s="149"/>
      <c r="F30" s="161"/>
      <c r="G30" s="162"/>
    </row>
    <row r="31" spans="2:11" ht="12.6" customHeight="1" thickBot="1" x14ac:dyDescent="0.35">
      <c r="B31" s="306" t="s">
        <v>51</v>
      </c>
      <c r="C31" s="307"/>
      <c r="D31" s="307"/>
      <c r="E31" s="307"/>
      <c r="F31" s="307"/>
      <c r="G31" s="307"/>
      <c r="H31" s="307"/>
      <c r="I31" s="15"/>
      <c r="J31" s="15"/>
      <c r="K31" s="15"/>
    </row>
    <row r="35" spans="2:7" hidden="1" x14ac:dyDescent="0.3">
      <c r="B35">
        <v>0</v>
      </c>
      <c r="C35" t="s">
        <v>52</v>
      </c>
    </row>
    <row r="36" spans="2:7" ht="15.6" hidden="1" customHeight="1" x14ac:dyDescent="0.3">
      <c r="B36">
        <v>1</v>
      </c>
      <c r="C36" t="s">
        <v>53</v>
      </c>
      <c r="D36" t="s">
        <v>54</v>
      </c>
      <c r="G36" t="s">
        <v>55</v>
      </c>
    </row>
    <row r="37" spans="2:7" ht="15.6" hidden="1" customHeight="1" x14ac:dyDescent="0.3">
      <c r="B37">
        <v>2</v>
      </c>
      <c r="D37" t="s">
        <v>56</v>
      </c>
      <c r="G37" t="s">
        <v>57</v>
      </c>
    </row>
    <row r="38" spans="2:7" ht="15.6" hidden="1" customHeight="1" x14ac:dyDescent="0.3">
      <c r="B38">
        <v>3</v>
      </c>
      <c r="D38" t="s">
        <v>31</v>
      </c>
    </row>
    <row r="39" spans="2:7" ht="15.6" hidden="1" customHeight="1" x14ac:dyDescent="0.3">
      <c r="B39">
        <v>4</v>
      </c>
      <c r="D39" t="s">
        <v>58</v>
      </c>
    </row>
    <row r="40" spans="2:7" ht="15.6" hidden="1" customHeight="1" x14ac:dyDescent="0.3">
      <c r="B40">
        <v>5</v>
      </c>
      <c r="D40" t="s">
        <v>59</v>
      </c>
    </row>
    <row r="41" spans="2:7" ht="15.6" hidden="1" customHeight="1" x14ac:dyDescent="0.3">
      <c r="B41">
        <v>6</v>
      </c>
      <c r="D41" t="s">
        <v>60</v>
      </c>
    </row>
    <row r="42" spans="2:7" ht="15.6" hidden="1" customHeight="1" x14ac:dyDescent="0.3">
      <c r="B42">
        <v>7</v>
      </c>
      <c r="D42" t="s">
        <v>61</v>
      </c>
    </row>
    <row r="43" spans="2:7" ht="15.6" hidden="1" customHeight="1" x14ac:dyDescent="0.3">
      <c r="B43">
        <v>8</v>
      </c>
    </row>
    <row r="44" spans="2:7" ht="15.6" hidden="1" customHeight="1" x14ac:dyDescent="0.3">
      <c r="B44">
        <v>9</v>
      </c>
    </row>
    <row r="45" spans="2:7" ht="15.6" hidden="1" customHeight="1" x14ac:dyDescent="0.3">
      <c r="B45">
        <v>10</v>
      </c>
    </row>
    <row r="46" spans="2:7" ht="15.6" customHeight="1" x14ac:dyDescent="0.3"/>
    <row r="47" spans="2:7" ht="15.6" customHeight="1" x14ac:dyDescent="0.3"/>
    <row r="48" spans="2:7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18">
    <mergeCell ref="C19:E19"/>
    <mergeCell ref="C15:E15"/>
    <mergeCell ref="F20:G20"/>
    <mergeCell ref="B31:H31"/>
    <mergeCell ref="B2:H3"/>
    <mergeCell ref="C14:E14"/>
    <mergeCell ref="C17:E17"/>
    <mergeCell ref="C18:E18"/>
    <mergeCell ref="F22:H22"/>
    <mergeCell ref="B22:D22"/>
    <mergeCell ref="F5:H5"/>
    <mergeCell ref="C7:E7"/>
    <mergeCell ref="C8:E8"/>
    <mergeCell ref="C9:E9"/>
    <mergeCell ref="C12:E12"/>
    <mergeCell ref="C13:E13"/>
    <mergeCell ref="C20:E20"/>
    <mergeCell ref="C10:E10"/>
  </mergeCells>
  <dataValidations count="5">
    <dataValidation type="list" allowBlank="1" showInputMessage="1" showErrorMessage="1" sqref="C18:E18" xr:uid="{F47CBD30-AC04-4E07-BC58-9C727FCBA355}">
      <formula1>$D$36:$D$43</formula1>
    </dataValidation>
    <dataValidation type="list" allowBlank="1" showInputMessage="1" showErrorMessage="1" promptTitle="Communauté" sqref="C17:E17" xr:uid="{4D4787BC-6A97-47E6-B9D6-7346B30B07E8}">
      <formula1>"Célibataire,Concubinage,Divorcé,Veuf,Marié-Pacsé"</formula1>
    </dataValidation>
    <dataValidation type="list" allowBlank="1" showInputMessage="1" showErrorMessage="1" sqref="F18" xr:uid="{B5A9C45F-3029-4ACA-B2A9-2A7A8780628B}">
      <formula1>$J$7:$J$8</formula1>
    </dataValidation>
    <dataValidation type="list" allowBlank="1" showInputMessage="1" showErrorMessage="1" sqref="D20:E20 C20:C21" xr:uid="{F91AA10A-2D56-43B5-87E1-EE890EFFD3DC}">
      <formula1>$C$35:$C$37</formula1>
    </dataValidation>
    <dataValidation type="list" allowBlank="1" showInputMessage="1" showErrorMessage="1" sqref="C29" xr:uid="{B62B7896-C42E-47FE-A026-CE9114D87D9C}">
      <formula1>$B$33:$B$43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63"/>
  <sheetViews>
    <sheetView showGridLines="0" topLeftCell="A13" zoomScale="70" zoomScaleNormal="70" workbookViewId="0">
      <selection activeCell="G42" sqref="G42"/>
    </sheetView>
  </sheetViews>
  <sheetFormatPr baseColWidth="10" defaultColWidth="11" defaultRowHeight="15.6" x14ac:dyDescent="0.3"/>
  <cols>
    <col min="1" max="1" width="6.19921875" customWidth="1"/>
    <col min="2" max="2" width="18.69921875" style="4" customWidth="1"/>
    <col min="3" max="3" width="15.59765625" customWidth="1"/>
    <col min="4" max="4" width="14" bestFit="1" customWidth="1"/>
    <col min="5" max="5" width="14.69921875" bestFit="1" customWidth="1"/>
    <col min="6" max="6" width="12.69921875" customWidth="1"/>
    <col min="7" max="7" width="12.09765625" customWidth="1"/>
    <col min="8" max="8" width="13.5" customWidth="1"/>
    <col min="9" max="9" width="14" customWidth="1"/>
  </cols>
  <sheetData>
    <row r="1" spans="2:9" ht="3" customHeight="1" thickBot="1" x14ac:dyDescent="0.35"/>
    <row r="2" spans="2:9" ht="19.95" customHeight="1" x14ac:dyDescent="0.3">
      <c r="B2" s="331" t="s">
        <v>62</v>
      </c>
      <c r="C2" s="332"/>
      <c r="D2" s="332"/>
      <c r="E2" s="332"/>
      <c r="F2" s="332"/>
      <c r="G2" s="332"/>
      <c r="H2" s="332"/>
      <c r="I2" s="333"/>
    </row>
    <row r="3" spans="2:9" ht="19.95" customHeight="1" thickBot="1" x14ac:dyDescent="0.35">
      <c r="B3" s="334"/>
      <c r="C3" s="335"/>
      <c r="D3" s="335"/>
      <c r="E3" s="335"/>
      <c r="F3" s="335"/>
      <c r="G3" s="335"/>
      <c r="H3" s="335"/>
      <c r="I3" s="336"/>
    </row>
    <row r="4" spans="2:9" ht="4.2" customHeight="1" x14ac:dyDescent="0.3"/>
    <row r="5" spans="2:9" x14ac:dyDescent="0.3">
      <c r="B5" s="358" t="s">
        <v>63</v>
      </c>
      <c r="C5" s="358"/>
      <c r="D5" s="358"/>
      <c r="E5" s="358"/>
      <c r="F5" s="358"/>
      <c r="G5" s="358"/>
      <c r="H5" s="358"/>
      <c r="I5" s="358"/>
    </row>
    <row r="6" spans="2:9" ht="3" customHeight="1" thickBot="1" x14ac:dyDescent="0.35"/>
    <row r="7" spans="2:9" ht="16.95" customHeight="1" thickBot="1" x14ac:dyDescent="0.35">
      <c r="B7" s="343" t="s">
        <v>64</v>
      </c>
      <c r="C7" s="344"/>
      <c r="D7" s="278" t="s">
        <v>65</v>
      </c>
      <c r="E7" s="279" t="s">
        <v>66</v>
      </c>
      <c r="F7" s="279" t="s">
        <v>67</v>
      </c>
      <c r="G7" s="279" t="s">
        <v>68</v>
      </c>
      <c r="H7" s="354" t="s">
        <v>69</v>
      </c>
      <c r="I7" s="355"/>
    </row>
    <row r="8" spans="2:9" ht="16.95" customHeight="1" thickBot="1" x14ac:dyDescent="0.35">
      <c r="B8" s="349"/>
      <c r="C8" s="350"/>
      <c r="D8" s="243" t="s">
        <v>70</v>
      </c>
      <c r="E8" s="191">
        <v>350000</v>
      </c>
      <c r="F8" s="191">
        <v>350000</v>
      </c>
      <c r="G8" s="190">
        <v>2034</v>
      </c>
      <c r="H8" s="356">
        <v>2400</v>
      </c>
      <c r="I8" s="357"/>
    </row>
    <row r="9" spans="2:9" ht="3" customHeight="1" thickBot="1" x14ac:dyDescent="0.35">
      <c r="B9" s="207"/>
      <c r="C9" s="230"/>
      <c r="D9" s="231"/>
      <c r="E9" s="232"/>
      <c r="F9" s="232"/>
      <c r="G9" s="233"/>
      <c r="H9" s="234"/>
      <c r="I9" s="234"/>
    </row>
    <row r="10" spans="2:9" ht="16.95" customHeight="1" thickBot="1" x14ac:dyDescent="0.35">
      <c r="B10" s="351" t="s">
        <v>71</v>
      </c>
      <c r="C10" s="352"/>
      <c r="D10" s="352"/>
      <c r="E10" s="352"/>
      <c r="F10" s="352"/>
      <c r="G10" s="352"/>
      <c r="H10" s="352"/>
      <c r="I10" s="353"/>
    </row>
    <row r="11" spans="2:9" ht="16.2" thickBot="1" x14ac:dyDescent="0.35">
      <c r="B11" s="271" t="s">
        <v>72</v>
      </c>
      <c r="C11" s="272" t="s">
        <v>73</v>
      </c>
      <c r="D11" s="272" t="s">
        <v>74</v>
      </c>
      <c r="E11" s="272" t="s">
        <v>67</v>
      </c>
      <c r="F11" s="272" t="s">
        <v>68</v>
      </c>
      <c r="G11" s="272" t="s">
        <v>75</v>
      </c>
      <c r="H11" s="272" t="s">
        <v>76</v>
      </c>
      <c r="I11" s="273" t="s">
        <v>77</v>
      </c>
    </row>
    <row r="12" spans="2:9" ht="3" customHeight="1" thickBot="1" x14ac:dyDescent="0.35"/>
    <row r="13" spans="2:9" x14ac:dyDescent="0.3">
      <c r="B13" s="238"/>
      <c r="C13" s="163"/>
      <c r="D13" s="163"/>
      <c r="E13" s="163"/>
      <c r="F13" s="105"/>
      <c r="G13" s="166"/>
      <c r="H13" s="166"/>
      <c r="I13" s="196"/>
    </row>
    <row r="14" spans="2:9" x14ac:dyDescent="0.3">
      <c r="B14" s="241"/>
      <c r="C14" s="164"/>
      <c r="D14" s="164"/>
      <c r="E14" s="164"/>
      <c r="F14" s="106"/>
      <c r="G14" s="167"/>
      <c r="H14" s="182"/>
      <c r="I14" s="197"/>
    </row>
    <row r="15" spans="2:9" ht="16.2" thickBot="1" x14ac:dyDescent="0.35">
      <c r="B15" s="236"/>
      <c r="C15" s="165"/>
      <c r="D15" s="165"/>
      <c r="E15" s="165"/>
      <c r="F15" s="107"/>
      <c r="G15" s="168"/>
      <c r="H15" s="168"/>
      <c r="I15" s="198" t="str">
        <f>IF(ISBLANK(B15),"",IF(ISBLANK(H15),"NC",(H15*12)/D15))</f>
        <v/>
      </c>
    </row>
    <row r="16" spans="2:9" ht="2.4" customHeight="1" x14ac:dyDescent="0.3"/>
    <row r="17" spans="2:9" ht="16.2" customHeight="1" x14ac:dyDescent="0.3">
      <c r="B17" s="358" t="s">
        <v>78</v>
      </c>
      <c r="C17" s="358"/>
      <c r="D17" s="358"/>
      <c r="E17" s="358"/>
      <c r="F17" s="358"/>
      <c r="G17" s="358"/>
      <c r="H17" s="358"/>
      <c r="I17" s="358"/>
    </row>
    <row r="18" spans="2:9" ht="2.4" customHeight="1" thickBot="1" x14ac:dyDescent="0.35"/>
    <row r="19" spans="2:9" ht="16.2" customHeight="1" thickBot="1" x14ac:dyDescent="0.35">
      <c r="B19" s="359" t="s">
        <v>79</v>
      </c>
      <c r="C19" s="360"/>
      <c r="D19" s="272" t="s">
        <v>80</v>
      </c>
      <c r="E19" s="272" t="s">
        <v>68</v>
      </c>
      <c r="F19" s="272" t="s">
        <v>81</v>
      </c>
      <c r="G19" s="272" t="s">
        <v>75</v>
      </c>
      <c r="H19" s="369" t="s">
        <v>40</v>
      </c>
      <c r="I19" s="370"/>
    </row>
    <row r="20" spans="2:9" ht="3" customHeight="1" thickBot="1" x14ac:dyDescent="0.35">
      <c r="B20" s="185"/>
      <c r="C20" s="186"/>
      <c r="D20" s="186"/>
      <c r="E20" s="186"/>
      <c r="F20" s="186"/>
      <c r="G20" s="186"/>
      <c r="H20" s="186"/>
      <c r="I20" s="186"/>
    </row>
    <row r="21" spans="2:9" ht="16.2" customHeight="1" x14ac:dyDescent="0.3">
      <c r="B21" s="367" t="s">
        <v>82</v>
      </c>
      <c r="C21" s="368"/>
      <c r="D21" s="163"/>
      <c r="E21" s="147"/>
      <c r="F21" s="105"/>
      <c r="G21" s="166">
        <v>500</v>
      </c>
      <c r="H21" s="377"/>
      <c r="I21" s="378"/>
    </row>
    <row r="22" spans="2:9" ht="16.2" customHeight="1" x14ac:dyDescent="0.3">
      <c r="B22" s="371" t="s">
        <v>83</v>
      </c>
      <c r="C22" s="372"/>
      <c r="D22" s="192"/>
      <c r="E22" s="187"/>
      <c r="F22" s="188"/>
      <c r="G22" s="189">
        <v>186</v>
      </c>
      <c r="H22" s="375"/>
      <c r="I22" s="376"/>
    </row>
    <row r="23" spans="2:9" ht="16.2" customHeight="1" thickBot="1" x14ac:dyDescent="0.35">
      <c r="B23" s="365"/>
      <c r="C23" s="366"/>
      <c r="D23" s="165"/>
      <c r="E23" s="142"/>
      <c r="F23" s="107"/>
      <c r="G23" s="168"/>
      <c r="H23" s="373"/>
      <c r="I23" s="374"/>
    </row>
    <row r="24" spans="2:9" ht="4.95" customHeight="1" x14ac:dyDescent="0.3">
      <c r="B24"/>
    </row>
    <row r="25" spans="2:9" x14ac:dyDescent="0.3">
      <c r="B25" s="358" t="s">
        <v>84</v>
      </c>
      <c r="C25" s="358"/>
      <c r="D25" s="358"/>
      <c r="E25" s="358"/>
      <c r="F25" s="358"/>
      <c r="G25" s="358"/>
      <c r="H25" s="358"/>
      <c r="I25" s="358"/>
    </row>
    <row r="26" spans="2:9" ht="6" customHeight="1" thickBot="1" x14ac:dyDescent="0.35"/>
    <row r="27" spans="2:9" ht="16.2" thickBot="1" x14ac:dyDescent="0.35">
      <c r="B27" s="359" t="s">
        <v>85</v>
      </c>
      <c r="C27" s="360"/>
      <c r="D27" s="272" t="s">
        <v>86</v>
      </c>
      <c r="E27" s="272" t="s">
        <v>67</v>
      </c>
      <c r="F27" s="272" t="s">
        <v>68</v>
      </c>
      <c r="G27" s="272" t="s">
        <v>75</v>
      </c>
      <c r="H27" s="272" t="s">
        <v>76</v>
      </c>
      <c r="I27" s="273" t="s">
        <v>77</v>
      </c>
    </row>
    <row r="28" spans="2:9" ht="4.95" customHeight="1" thickBot="1" x14ac:dyDescent="0.35"/>
    <row r="29" spans="2:9" ht="16.95" customHeight="1" x14ac:dyDescent="0.3">
      <c r="B29" s="363"/>
      <c r="C29" s="364"/>
      <c r="D29" s="195"/>
      <c r="E29" s="195"/>
      <c r="F29" s="108"/>
      <c r="G29" s="183"/>
      <c r="H29" s="193"/>
      <c r="I29" s="199" t="str">
        <f>IF(ISBLANK(B29),"",IF(ISBLANK(H29),"NC",(H29*12)/D29))</f>
        <v/>
      </c>
    </row>
    <row r="30" spans="2:9" ht="16.95" customHeight="1" thickBot="1" x14ac:dyDescent="0.35">
      <c r="B30" s="361"/>
      <c r="C30" s="362"/>
      <c r="D30" s="168"/>
      <c r="E30" s="168"/>
      <c r="F30" s="107"/>
      <c r="G30" s="165"/>
      <c r="H30" s="194"/>
      <c r="I30" s="200" t="str">
        <f t="shared" ref="I30" si="0">IF(ISBLANK(B30),"",IF(ISBLANK(H30),"NC",(H30*12)/D30))</f>
        <v/>
      </c>
    </row>
    <row r="31" spans="2:9" ht="4.2" customHeight="1" x14ac:dyDescent="0.3"/>
    <row r="32" spans="2:9" ht="20.399999999999999" customHeight="1" x14ac:dyDescent="0.3">
      <c r="B32" s="358" t="s">
        <v>87</v>
      </c>
      <c r="C32" s="358"/>
      <c r="D32" s="184">
        <f>MAX(0,IF('Etat Civil'!H20=0,0,(SUM(H8,G13:G15,G21:G23))/(SUM(H13:H15)+(('Etat Civil'!H20-'Etat Civil'!H18-'Etat Civil'!H19)/12))))</f>
        <v>0.32062337662337664</v>
      </c>
      <c r="F32" s="358" t="str">
        <f>IF(AND(ISBLANK(B29),ISBLANK(B30)),"","TAUX D'ENDETTEMENT SI PROJET")</f>
        <v/>
      </c>
      <c r="G32" s="358"/>
      <c r="H32" s="358"/>
      <c r="I32" s="184" t="str">
        <f>IF(AND(ISBLANK(B29),ISBLANK(B30)),"",MAX(0,IF('Etat Civil'!H20=0,0,IF(OR(B29="Changement RP",B30="Changement RP"),(SUM(G13:G15,G21:G23,G29:G30))/((SUM(H13:H15,H29:H30))+(('Etat Civil'!H20-'Etat Civil'!H18-'Etat Civil'!H19)/12)),(SUM(G13:G15,G21:G23,G29:G30,H8))/((SUM(H13:H15,H29:H30))+(('Etat Civil'!H20-'Etat Civil'!H18-'Etat Civil'!H19)/12))))))</f>
        <v/>
      </c>
    </row>
    <row r="33" spans="2:10" ht="6" customHeight="1" thickBot="1" x14ac:dyDescent="0.35"/>
    <row r="34" spans="2:10" ht="19.95" customHeight="1" x14ac:dyDescent="0.3">
      <c r="B34" s="331" t="s">
        <v>88</v>
      </c>
      <c r="C34" s="332"/>
      <c r="D34" s="332"/>
      <c r="E34" s="332"/>
      <c r="F34" s="332"/>
      <c r="G34" s="332"/>
      <c r="H34" s="332"/>
      <c r="I34" s="333"/>
    </row>
    <row r="35" spans="2:10" ht="19.95" customHeight="1" thickBot="1" x14ac:dyDescent="0.35">
      <c r="B35" s="334"/>
      <c r="C35" s="335"/>
      <c r="D35" s="335"/>
      <c r="E35" s="335"/>
      <c r="F35" s="335"/>
      <c r="G35" s="335"/>
      <c r="H35" s="335"/>
      <c r="I35" s="336"/>
      <c r="J35" s="240"/>
    </row>
    <row r="36" spans="2:10" ht="3" customHeight="1" thickBot="1" x14ac:dyDescent="0.35">
      <c r="B36"/>
      <c r="C36" s="7"/>
      <c r="F36" s="7"/>
      <c r="G36" s="7"/>
      <c r="H36" s="9"/>
    </row>
    <row r="37" spans="2:10" ht="16.2" thickBot="1" x14ac:dyDescent="0.35">
      <c r="B37" s="280" t="s">
        <v>89</v>
      </c>
      <c r="C37" s="281" t="s">
        <v>66</v>
      </c>
      <c r="D37" s="272" t="s">
        <v>90</v>
      </c>
      <c r="E37" s="272" t="s">
        <v>91</v>
      </c>
      <c r="F37" s="282" t="s">
        <v>92</v>
      </c>
      <c r="G37" s="283" t="s">
        <v>93</v>
      </c>
      <c r="H37" s="284" t="s">
        <v>94</v>
      </c>
      <c r="I37" s="285" t="s">
        <v>95</v>
      </c>
    </row>
    <row r="38" spans="2:10" ht="16.2" thickBot="1" x14ac:dyDescent="0.35">
      <c r="B38" s="337" t="s">
        <v>96</v>
      </c>
      <c r="C38" s="338"/>
      <c r="D38" s="338"/>
      <c r="E38" s="338"/>
      <c r="F38" s="338"/>
      <c r="G38" s="338"/>
      <c r="H38" s="338"/>
      <c r="I38" s="339"/>
    </row>
    <row r="39" spans="2:10" x14ac:dyDescent="0.3">
      <c r="B39" s="238" t="s">
        <v>227</v>
      </c>
      <c r="C39" s="249">
        <v>22000</v>
      </c>
      <c r="D39" s="118"/>
      <c r="E39" s="239"/>
      <c r="F39" s="249"/>
      <c r="G39" s="129"/>
      <c r="H39" s="129"/>
      <c r="I39" s="110"/>
    </row>
    <row r="40" spans="2:10" x14ac:dyDescent="0.3">
      <c r="B40" s="241" t="s">
        <v>228</v>
      </c>
      <c r="C40" s="251">
        <v>10000</v>
      </c>
      <c r="D40" s="172"/>
      <c r="E40" s="242"/>
      <c r="F40" s="251"/>
      <c r="G40" s="130"/>
      <c r="H40" s="130"/>
      <c r="I40" s="112"/>
    </row>
    <row r="41" spans="2:10" x14ac:dyDescent="0.3">
      <c r="B41" s="241"/>
      <c r="C41" s="251"/>
      <c r="D41" s="172"/>
      <c r="E41" s="242"/>
      <c r="F41" s="251"/>
      <c r="G41" s="130"/>
      <c r="H41" s="130"/>
      <c r="I41" s="112"/>
    </row>
    <row r="42" spans="2:10" ht="16.2" thickBot="1" x14ac:dyDescent="0.35">
      <c r="B42" s="236"/>
      <c r="C42" s="253"/>
      <c r="D42" s="127"/>
      <c r="E42" s="237"/>
      <c r="F42" s="253"/>
      <c r="G42" s="131"/>
      <c r="H42" s="131"/>
      <c r="I42" s="114"/>
    </row>
    <row r="43" spans="2:10" ht="16.2" thickBot="1" x14ac:dyDescent="0.35">
      <c r="B43" s="340" t="s">
        <v>97</v>
      </c>
      <c r="C43" s="341"/>
      <c r="D43" s="341"/>
      <c r="E43" s="341"/>
      <c r="F43" s="341"/>
      <c r="G43" s="341"/>
      <c r="H43" s="341"/>
      <c r="I43" s="342"/>
    </row>
    <row r="44" spans="2:10" x14ac:dyDescent="0.3">
      <c r="B44" s="238"/>
      <c r="C44" s="249"/>
      <c r="D44" s="296"/>
      <c r="E44" s="239"/>
      <c r="F44" s="249"/>
      <c r="G44" s="297"/>
      <c r="H44" s="129"/>
      <c r="I44" s="110"/>
    </row>
    <row r="45" spans="2:10" x14ac:dyDescent="0.3">
      <c r="B45" s="290"/>
      <c r="C45" s="291"/>
      <c r="D45" s="292"/>
      <c r="E45" s="293"/>
      <c r="F45" s="291"/>
      <c r="G45" s="294"/>
      <c r="H45" s="294"/>
      <c r="I45" s="295"/>
    </row>
    <row r="46" spans="2:10" ht="16.2" thickBot="1" x14ac:dyDescent="0.35">
      <c r="B46" s="236"/>
      <c r="C46" s="253"/>
      <c r="D46" s="127"/>
      <c r="E46" s="237"/>
      <c r="F46" s="253"/>
      <c r="G46" s="131"/>
      <c r="H46" s="131"/>
      <c r="I46" s="114"/>
    </row>
    <row r="47" spans="2:10" ht="16.2" thickBot="1" x14ac:dyDescent="0.35">
      <c r="B47" s="340" t="s">
        <v>98</v>
      </c>
      <c r="C47" s="341"/>
      <c r="D47" s="341"/>
      <c r="E47" s="341"/>
      <c r="F47" s="341"/>
      <c r="G47" s="341"/>
      <c r="H47" s="341"/>
      <c r="I47" s="342"/>
    </row>
    <row r="48" spans="2:10" x14ac:dyDescent="0.3">
      <c r="B48" s="238"/>
      <c r="C48" s="249"/>
      <c r="D48" s="108"/>
      <c r="E48" s="239"/>
      <c r="F48" s="249"/>
      <c r="G48" s="129"/>
      <c r="H48" s="129"/>
      <c r="I48" s="110"/>
    </row>
    <row r="49" spans="2:10" hidden="1" x14ac:dyDescent="0.3">
      <c r="B49" s="241"/>
      <c r="C49" s="251"/>
      <c r="D49" s="106"/>
      <c r="E49" s="242"/>
      <c r="F49" s="251"/>
      <c r="G49" s="130"/>
      <c r="H49" s="130"/>
      <c r="I49" s="112"/>
    </row>
    <row r="50" spans="2:10" ht="16.2" thickBot="1" x14ac:dyDescent="0.35">
      <c r="B50" s="236"/>
      <c r="C50" s="253"/>
      <c r="D50" s="107"/>
      <c r="E50" s="237"/>
      <c r="F50" s="253"/>
      <c r="G50" s="131"/>
      <c r="H50" s="131"/>
      <c r="I50" s="114"/>
    </row>
    <row r="51" spans="2:10" x14ac:dyDescent="0.3">
      <c r="B51" s="343" t="s">
        <v>99</v>
      </c>
      <c r="C51" s="344"/>
      <c r="D51" s="201">
        <f>SUM(F39:F42,F44:F46,F48:F50)</f>
        <v>0</v>
      </c>
      <c r="F51" s="7"/>
      <c r="G51" s="7"/>
      <c r="H51" s="9"/>
    </row>
    <row r="52" spans="2:10" ht="3.6" customHeight="1" thickBot="1" x14ac:dyDescent="0.35">
      <c r="B52"/>
      <c r="C52" s="7"/>
      <c r="F52" s="7"/>
      <c r="G52" s="7"/>
      <c r="H52" s="9"/>
    </row>
    <row r="53" spans="2:10" ht="16.2" thickBot="1" x14ac:dyDescent="0.35">
      <c r="B53" s="345" t="s">
        <v>51</v>
      </c>
      <c r="C53" s="346"/>
      <c r="D53" s="346"/>
      <c r="E53" s="346"/>
      <c r="F53" s="346"/>
      <c r="G53" s="346"/>
      <c r="H53" s="346"/>
      <c r="I53" s="347"/>
    </row>
    <row r="54" spans="2:10" x14ac:dyDescent="0.3">
      <c r="B54" s="348"/>
      <c r="C54" s="348"/>
      <c r="D54" s="348"/>
      <c r="E54" s="348"/>
      <c r="F54" s="348"/>
      <c r="G54" s="348"/>
      <c r="H54" s="348"/>
      <c r="I54" s="6"/>
      <c r="J54" s="6"/>
    </row>
    <row r="55" spans="2:10" x14ac:dyDescent="0.3">
      <c r="B55" s="6"/>
      <c r="C55" s="208"/>
      <c r="D55" s="6"/>
      <c r="E55" s="6"/>
      <c r="F55" s="208"/>
      <c r="G55" s="208"/>
      <c r="H55" s="209"/>
      <c r="I55" s="6"/>
      <c r="J55" s="6"/>
    </row>
    <row r="56" spans="2:10" x14ac:dyDescent="0.3">
      <c r="B56" s="149"/>
      <c r="C56" s="203"/>
      <c r="D56" s="149"/>
      <c r="E56" s="149"/>
      <c r="F56" s="203"/>
      <c r="G56" s="210"/>
      <c r="H56" s="211"/>
      <c r="I56" s="6"/>
      <c r="J56" s="6"/>
    </row>
    <row r="57" spans="2:10" x14ac:dyDescent="0.3">
      <c r="B57" s="149"/>
      <c r="C57" s="203"/>
      <c r="D57" s="149"/>
      <c r="E57" s="149"/>
      <c r="F57" s="203"/>
      <c r="G57" s="210"/>
      <c r="H57" s="211"/>
      <c r="I57" s="6"/>
      <c r="J57" s="6"/>
    </row>
    <row r="58" spans="2:10" x14ac:dyDescent="0.3">
      <c r="B58" s="149"/>
      <c r="C58" s="203"/>
      <c r="D58" s="149"/>
      <c r="E58" s="149"/>
      <c r="F58" s="203"/>
      <c r="G58" s="210"/>
      <c r="H58" s="211"/>
      <c r="I58" s="212"/>
      <c r="J58" s="6"/>
    </row>
    <row r="59" spans="2:10" x14ac:dyDescent="0.3">
      <c r="B59" s="328"/>
      <c r="C59" s="328"/>
      <c r="D59" s="329"/>
      <c r="E59" s="329"/>
      <c r="F59" s="208"/>
      <c r="G59" s="208"/>
      <c r="H59" s="209"/>
      <c r="I59" s="6"/>
      <c r="J59" s="6"/>
    </row>
    <row r="60" spans="2:10" ht="3.6" customHeight="1" x14ac:dyDescent="0.3">
      <c r="B60" s="6"/>
      <c r="C60" s="208"/>
      <c r="D60" s="6"/>
      <c r="E60" s="6"/>
      <c r="F60" s="208"/>
      <c r="G60" s="208"/>
      <c r="H60" s="209"/>
      <c r="I60" s="6"/>
      <c r="J60" s="6"/>
    </row>
    <row r="61" spans="2:10" x14ac:dyDescent="0.3">
      <c r="B61" s="330"/>
      <c r="C61" s="330"/>
      <c r="D61" s="330"/>
      <c r="E61" s="330"/>
      <c r="F61" s="330"/>
      <c r="G61" s="330"/>
      <c r="H61" s="330"/>
      <c r="I61" s="330"/>
      <c r="J61" s="6"/>
    </row>
    <row r="62" spans="2:10" x14ac:dyDescent="0.3">
      <c r="B62" s="202"/>
      <c r="C62" s="6"/>
      <c r="D62" s="6"/>
      <c r="E62" s="6"/>
      <c r="F62" s="6"/>
      <c r="G62" s="6"/>
      <c r="H62" s="6"/>
      <c r="I62" s="6"/>
      <c r="J62" s="6"/>
    </row>
    <row r="63" spans="2:10" x14ac:dyDescent="0.3">
      <c r="B63" s="202"/>
      <c r="C63" s="6"/>
      <c r="D63" s="6"/>
      <c r="E63" s="6"/>
      <c r="F63" s="6"/>
      <c r="G63" s="6"/>
      <c r="H63" s="6"/>
      <c r="I63" s="6"/>
      <c r="J63" s="6"/>
    </row>
  </sheetData>
  <mergeCells count="31">
    <mergeCell ref="B32:C32"/>
    <mergeCell ref="F32:H32"/>
    <mergeCell ref="B2:I3"/>
    <mergeCell ref="B5:I5"/>
    <mergeCell ref="B25:I25"/>
    <mergeCell ref="B27:C27"/>
    <mergeCell ref="B30:C30"/>
    <mergeCell ref="B29:C29"/>
    <mergeCell ref="B19:C19"/>
    <mergeCell ref="B23:C23"/>
    <mergeCell ref="B21:C21"/>
    <mergeCell ref="H19:I19"/>
    <mergeCell ref="B22:C22"/>
    <mergeCell ref="H23:I23"/>
    <mergeCell ref="H22:I22"/>
    <mergeCell ref="H21:I21"/>
    <mergeCell ref="B7:C8"/>
    <mergeCell ref="B10:I10"/>
    <mergeCell ref="H7:I7"/>
    <mergeCell ref="H8:I8"/>
    <mergeCell ref="B17:I17"/>
    <mergeCell ref="B59:C59"/>
    <mergeCell ref="D59:E59"/>
    <mergeCell ref="B61:I61"/>
    <mergeCell ref="B34:I35"/>
    <mergeCell ref="B38:I38"/>
    <mergeCell ref="B43:I43"/>
    <mergeCell ref="B47:I47"/>
    <mergeCell ref="B51:C51"/>
    <mergeCell ref="B53:I53"/>
    <mergeCell ref="B54:H54"/>
  </mergeCells>
  <dataValidations count="3">
    <dataValidation type="list" allowBlank="1" showInputMessage="1" showErrorMessage="1" sqref="B29:C30" xr:uid="{3D161660-D140-4743-A4D6-54F82D4A80E5}">
      <formula1>"Changement RP,Travaux,Investissement,Autre"</formula1>
    </dataValidation>
    <dataValidation type="list" allowBlank="1" showInputMessage="1" showErrorMessage="1" sqref="H51:H52 H56:H58 H43" xr:uid="{DAEA72D6-35C5-4136-8E3A-55D3ACD20A83}">
      <formula1>$B$33:$B$33</formula1>
    </dataValidation>
    <dataValidation type="list" allowBlank="1" showInputMessage="1" showErrorMessage="1" sqref="H39:H42 H44:H46 H48:H50" xr:uid="{87BAB89B-119F-42F6-88A9-512A422B768A}">
      <formula1>"Libre,Sous Mandat"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D9" sqref="D9"/>
    </sheetView>
  </sheetViews>
  <sheetFormatPr baseColWidth="10" defaultColWidth="11" defaultRowHeight="15.6" x14ac:dyDescent="0.3"/>
  <cols>
    <col min="1" max="1" width="6.19921875" customWidth="1"/>
    <col min="2" max="2" width="14.5" style="4" customWidth="1"/>
    <col min="3" max="3" width="13.5" bestFit="1" customWidth="1"/>
    <col min="4" max="4" width="14" bestFit="1" customWidth="1"/>
    <col min="5" max="5" width="14.69921875" bestFit="1" customWidth="1"/>
    <col min="6" max="7" width="12.8984375" customWidth="1"/>
    <col min="10" max="10" width="12.19921875" customWidth="1"/>
    <col min="11" max="11" width="13.19921875" customWidth="1"/>
    <col min="12" max="12" width="14.8984375" customWidth="1"/>
  </cols>
  <sheetData>
    <row r="1" spans="2:12" ht="3" customHeight="1" thickBot="1" x14ac:dyDescent="0.35"/>
    <row r="2" spans="2:12" ht="19.95" customHeight="1" x14ac:dyDescent="0.3">
      <c r="B2" s="331" t="s">
        <v>100</v>
      </c>
      <c r="C2" s="332"/>
      <c r="D2" s="332"/>
      <c r="E2" s="332"/>
      <c r="F2" s="333"/>
      <c r="G2" s="223"/>
      <c r="H2" s="223"/>
      <c r="I2" s="223"/>
      <c r="J2" s="223"/>
      <c r="K2" s="223"/>
    </row>
    <row r="3" spans="2:12" ht="19.95" customHeight="1" thickBot="1" x14ac:dyDescent="0.35">
      <c r="B3" s="334"/>
      <c r="C3" s="335"/>
      <c r="D3" s="335"/>
      <c r="E3" s="335"/>
      <c r="F3" s="336"/>
      <c r="G3" s="223"/>
      <c r="H3" s="223"/>
      <c r="I3" s="223"/>
      <c r="J3" s="223"/>
      <c r="K3" s="223"/>
    </row>
    <row r="4" spans="2:12" ht="4.2" customHeight="1" thickBot="1" x14ac:dyDescent="0.35"/>
    <row r="5" spans="2:12" ht="12" customHeight="1" x14ac:dyDescent="0.3">
      <c r="B5" s="343" t="s">
        <v>64</v>
      </c>
      <c r="C5" s="380"/>
      <c r="D5" s="380"/>
      <c r="E5" s="380"/>
      <c r="F5" s="344"/>
      <c r="I5" s="240"/>
      <c r="J5" s="240"/>
    </row>
    <row r="6" spans="2:12" ht="12" customHeight="1" thickBot="1" x14ac:dyDescent="0.35">
      <c r="B6" s="349"/>
      <c r="C6" s="350"/>
      <c r="D6" s="350"/>
      <c r="E6" s="350"/>
      <c r="F6" s="381"/>
      <c r="I6" s="205"/>
      <c r="J6" s="205"/>
    </row>
    <row r="7" spans="2:12" ht="15" customHeight="1" thickBot="1" x14ac:dyDescent="0.35">
      <c r="B7" s="384" t="s">
        <v>65</v>
      </c>
      <c r="C7" s="385"/>
      <c r="D7" s="272" t="s">
        <v>66</v>
      </c>
      <c r="E7" s="272" t="s">
        <v>101</v>
      </c>
      <c r="F7" s="273" t="s">
        <v>102</v>
      </c>
    </row>
    <row r="8" spans="2:12" ht="15" customHeight="1" thickBot="1" x14ac:dyDescent="0.35">
      <c r="B8" s="382" t="s">
        <v>103</v>
      </c>
      <c r="C8" s="383"/>
      <c r="D8" s="226">
        <v>63000</v>
      </c>
      <c r="E8" s="226">
        <f>D8*0.015</f>
        <v>945</v>
      </c>
      <c r="F8" s="248"/>
    </row>
    <row r="9" spans="2:12" ht="3" customHeight="1" thickBot="1" x14ac:dyDescent="0.35">
      <c r="B9" s="217"/>
      <c r="C9" s="218"/>
      <c r="D9" s="218"/>
      <c r="E9" s="219"/>
      <c r="F9" s="219"/>
    </row>
    <row r="10" spans="2:12" ht="16.2" thickBot="1" x14ac:dyDescent="0.35">
      <c r="B10" s="351" t="s">
        <v>63</v>
      </c>
      <c r="C10" s="352"/>
      <c r="D10" s="352"/>
      <c r="E10" s="352"/>
      <c r="F10" s="353"/>
    </row>
    <row r="11" spans="2:12" ht="6" customHeight="1" thickBot="1" x14ac:dyDescent="0.35"/>
    <row r="12" spans="2:12" ht="26.4" customHeight="1" thickBot="1" x14ac:dyDescent="0.35">
      <c r="B12" s="392" t="s">
        <v>104</v>
      </c>
      <c r="C12" s="393"/>
      <c r="D12" s="274" t="s">
        <v>66</v>
      </c>
      <c r="E12" s="274" t="s">
        <v>101</v>
      </c>
      <c r="F12" s="275" t="s">
        <v>105</v>
      </c>
      <c r="L12" s="240"/>
    </row>
    <row r="13" spans="2:12" ht="3" customHeight="1" thickBot="1" x14ac:dyDescent="0.35">
      <c r="B13" s="220"/>
      <c r="F13" s="221"/>
      <c r="L13" s="6"/>
    </row>
    <row r="14" spans="2:12" x14ac:dyDescent="0.3">
      <c r="B14" s="367"/>
      <c r="C14" s="368"/>
      <c r="D14" s="249"/>
      <c r="E14" s="249">
        <f>IF(ISBLANK(D14),0,D14*0.015)</f>
        <v>0</v>
      </c>
      <c r="F14" s="250"/>
      <c r="L14" s="6"/>
    </row>
    <row r="15" spans="2:12" x14ac:dyDescent="0.3">
      <c r="B15" s="394"/>
      <c r="C15" s="395"/>
      <c r="D15" s="251"/>
      <c r="E15" s="251">
        <f t="shared" ref="E15:E17" si="0">IF(ISBLANK(D15),0,D15*0.015)</f>
        <v>0</v>
      </c>
      <c r="F15" s="252"/>
      <c r="L15" s="6"/>
    </row>
    <row r="16" spans="2:12" x14ac:dyDescent="0.3">
      <c r="B16" s="394"/>
      <c r="C16" s="395"/>
      <c r="D16" s="251"/>
      <c r="E16" s="251">
        <f t="shared" si="0"/>
        <v>0</v>
      </c>
      <c r="F16" s="252"/>
      <c r="L16" s="6"/>
    </row>
    <row r="17" spans="2:12" ht="16.2" thickBot="1" x14ac:dyDescent="0.35">
      <c r="B17" s="365"/>
      <c r="C17" s="366"/>
      <c r="D17" s="253"/>
      <c r="E17" s="253">
        <f t="shared" si="0"/>
        <v>0</v>
      </c>
      <c r="F17" s="254"/>
      <c r="L17" s="181"/>
    </row>
    <row r="18" spans="2:12" ht="6" customHeight="1" thickBot="1" x14ac:dyDescent="0.35"/>
    <row r="19" spans="2:12" ht="16.2" thickBot="1" x14ac:dyDescent="0.35">
      <c r="B19" s="351" t="s">
        <v>106</v>
      </c>
      <c r="C19" s="352"/>
      <c r="D19" s="352"/>
      <c r="E19" s="352"/>
      <c r="F19" s="353"/>
    </row>
    <row r="20" spans="2:12" ht="6" customHeight="1" thickBot="1" x14ac:dyDescent="0.35">
      <c r="B20"/>
    </row>
    <row r="21" spans="2:12" ht="27" customHeight="1" thickBot="1" x14ac:dyDescent="0.35">
      <c r="B21" s="213" t="s">
        <v>107</v>
      </c>
      <c r="C21" s="214" t="s">
        <v>108</v>
      </c>
      <c r="D21" s="215" t="s">
        <v>109</v>
      </c>
      <c r="E21" s="214" t="s">
        <v>110</v>
      </c>
      <c r="F21" s="216" t="s">
        <v>111</v>
      </c>
    </row>
    <row r="22" spans="2:12" ht="16.2" thickBot="1" x14ac:dyDescent="0.35">
      <c r="B22" s="225">
        <v>0.5</v>
      </c>
      <c r="C22" s="224">
        <v>2</v>
      </c>
      <c r="D22" s="226">
        <f>('Etat Civil'!H8+'Etat Civil'!H13+'Etat Civil'!H10+'Etat Civil'!H15)*'Prévision retraite'!B22+'Etat Civil'!H9+'Etat Civil'!H14+(SUM(F14:F17)*12)*0.8</f>
        <v>57750</v>
      </c>
      <c r="E22" s="226">
        <f>'Impôt Retraite'!D14</f>
        <v>4458.5800000000008</v>
      </c>
      <c r="F22" s="227">
        <f>SUM(E8,E14:E17)</f>
        <v>945</v>
      </c>
      <c r="G22" s="240"/>
      <c r="H22" s="240"/>
      <c r="I22" s="328"/>
      <c r="J22" s="328"/>
    </row>
    <row r="23" spans="2:12" ht="6.6" customHeight="1" thickBot="1" x14ac:dyDescent="0.35">
      <c r="B23"/>
      <c r="F23" s="206"/>
      <c r="G23" s="6"/>
      <c r="H23" s="6"/>
      <c r="I23" s="6"/>
      <c r="J23" s="6"/>
    </row>
    <row r="24" spans="2:12" ht="17.399999999999999" customHeight="1" x14ac:dyDescent="0.3">
      <c r="B24" s="386" t="s">
        <v>112</v>
      </c>
      <c r="C24" s="387"/>
      <c r="D24" s="388"/>
      <c r="E24" s="276">
        <f>D22-F22-E22</f>
        <v>52346.42</v>
      </c>
      <c r="F24" s="228" t="str">
        <f>ROUND((E24/12),0)&amp;"€/mois"</f>
        <v>4362€/mois</v>
      </c>
      <c r="G24" s="204"/>
      <c r="H24" s="203"/>
      <c r="I24" s="379"/>
      <c r="J24" s="379"/>
    </row>
    <row r="25" spans="2:12" ht="16.95" customHeight="1" thickBot="1" x14ac:dyDescent="0.35">
      <c r="B25" s="389" t="s">
        <v>113</v>
      </c>
      <c r="C25" s="390"/>
      <c r="D25" s="391"/>
      <c r="E25" s="277">
        <f>E24-C30</f>
        <v>-7635.3000000000029</v>
      </c>
      <c r="F25" s="229" t="str">
        <f>ROUND((E25/12),0)&amp;"€/mois"</f>
        <v>-636€/mois</v>
      </c>
    </row>
    <row r="26" spans="2:12" ht="3" customHeight="1" thickBot="1" x14ac:dyDescent="0.35">
      <c r="B26" s="150"/>
      <c r="C26" s="203"/>
      <c r="D26" s="149"/>
      <c r="E26" s="149"/>
      <c r="F26" s="149"/>
      <c r="G26" s="204"/>
      <c r="H26" s="203"/>
      <c r="I26" s="379"/>
      <c r="J26" s="379"/>
    </row>
    <row r="27" spans="2:12" ht="16.95" customHeight="1" thickBot="1" x14ac:dyDescent="0.35">
      <c r="B27" s="345" t="s">
        <v>51</v>
      </c>
      <c r="C27" s="346"/>
      <c r="D27" s="346"/>
      <c r="E27" s="346"/>
      <c r="F27" s="347"/>
      <c r="G27" s="222"/>
      <c r="H27" s="222"/>
      <c r="I27" s="222"/>
      <c r="J27" s="222"/>
      <c r="K27" s="222"/>
    </row>
    <row r="28" spans="2:12" ht="4.2" customHeight="1" x14ac:dyDescent="0.3"/>
    <row r="29" spans="2:12" ht="13.2" customHeight="1" x14ac:dyDescent="0.3">
      <c r="B29" s="330"/>
      <c r="C29" s="330"/>
      <c r="D29" s="330"/>
      <c r="E29" s="330"/>
      <c r="F29" s="330"/>
      <c r="G29" s="330"/>
      <c r="H29" s="330"/>
      <c r="I29" s="330"/>
      <c r="J29" s="330"/>
      <c r="K29" s="330"/>
    </row>
    <row r="30" spans="2:12" hidden="1" x14ac:dyDescent="0.3">
      <c r="B30" s="4" t="s">
        <v>114</v>
      </c>
      <c r="C30" s="247">
        <f>('Etat Civil'!H8+'Etat Civil'!H13+'Etat Civil'!H10+'Etat Civil'!H15)-'Etat Civil'!G25-('Principaux objectifs'!F5*12)+(SUM('Situation Patrimoniale'!H13:H15)*0.8)*12-SUM('Situation Patrimoniale'!G13:G15)*12-SUM('Situation Patrimoniale'!G21:G23)*12-IF('Situation Patrimoniale'!B29="Changement RP",'Situation Patrimoniale'!G29*12,IF('Situation Patrimoniale'!B30="Changement RP",'Situation Patrimoniale'!G30*12,'Situation Patrimoniale'!H8*12))</f>
        <v>59981.72</v>
      </c>
    </row>
  </sheetData>
  <mergeCells count="18">
    <mergeCell ref="B16:C16"/>
    <mergeCell ref="B15:C15"/>
    <mergeCell ref="B14:C14"/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  <mergeCell ref="B17:C1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M16" activeCellId="2" sqref="B2:L3 B7:M7 B16:M16"/>
    </sheetView>
  </sheetViews>
  <sheetFormatPr baseColWidth="10" defaultColWidth="11" defaultRowHeight="15.6" x14ac:dyDescent="0.3"/>
  <cols>
    <col min="1" max="1" width="6.19921875" customWidth="1"/>
    <col min="2" max="2" width="11.19921875" style="4"/>
    <col min="3" max="3" width="14.09765625" bestFit="1" customWidth="1"/>
    <col min="4" max="4" width="14" bestFit="1" customWidth="1"/>
    <col min="5" max="5" width="15.3984375" customWidth="1"/>
    <col min="6" max="6" width="12.69921875" customWidth="1"/>
    <col min="8" max="8" width="11.59765625" bestFit="1" customWidth="1"/>
    <col min="9" max="9" width="12.1992187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19.95" customHeight="1" x14ac:dyDescent="0.3">
      <c r="B2" s="331" t="s">
        <v>115</v>
      </c>
      <c r="C2" s="332"/>
      <c r="D2" s="332"/>
      <c r="E2" s="332"/>
      <c r="F2" s="332"/>
      <c r="G2" s="332"/>
      <c r="H2" s="332"/>
      <c r="I2" s="332"/>
      <c r="J2" s="332"/>
      <c r="K2" s="332"/>
      <c r="L2" s="333"/>
    </row>
    <row r="3" spans="2:13" ht="19.95" customHeight="1" thickBot="1" x14ac:dyDescent="0.35">
      <c r="B3" s="334"/>
      <c r="C3" s="335"/>
      <c r="D3" s="335"/>
      <c r="E3" s="335"/>
      <c r="F3" s="335"/>
      <c r="G3" s="335"/>
      <c r="H3" s="335"/>
      <c r="I3" s="335"/>
      <c r="J3" s="335"/>
      <c r="K3" s="335"/>
      <c r="L3" s="336"/>
    </row>
    <row r="4" spans="2:13" ht="4.2" customHeight="1" x14ac:dyDescent="0.3"/>
    <row r="5" spans="2:13" x14ac:dyDescent="0.3">
      <c r="B5" s="358" t="s">
        <v>116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</row>
    <row r="6" spans="2:13" ht="6" customHeight="1" thickBot="1" x14ac:dyDescent="0.35"/>
    <row r="7" spans="2:13" ht="16.2" thickBot="1" x14ac:dyDescent="0.35">
      <c r="B7" s="271" t="s">
        <v>104</v>
      </c>
      <c r="C7" s="272" t="s">
        <v>66</v>
      </c>
      <c r="D7" s="272" t="s">
        <v>28</v>
      </c>
      <c r="E7" s="272" t="s">
        <v>117</v>
      </c>
      <c r="F7" s="272" t="s">
        <v>118</v>
      </c>
      <c r="G7" s="272" t="s">
        <v>68</v>
      </c>
      <c r="H7" s="272" t="s">
        <v>75</v>
      </c>
      <c r="I7" s="272" t="s">
        <v>85</v>
      </c>
      <c r="J7" s="385" t="s">
        <v>90</v>
      </c>
      <c r="K7" s="385"/>
      <c r="L7" s="273" t="s">
        <v>119</v>
      </c>
      <c r="M7" s="273" t="s">
        <v>120</v>
      </c>
    </row>
    <row r="8" spans="2:13" ht="4.95" customHeight="1" thickBot="1" x14ac:dyDescent="0.35">
      <c r="K8" s="1"/>
    </row>
    <row r="9" spans="2:13" x14ac:dyDescent="0.3">
      <c r="B9" s="238"/>
      <c r="C9" s="255"/>
      <c r="D9" s="255"/>
      <c r="E9" s="255"/>
      <c r="F9" s="105"/>
      <c r="G9" s="105"/>
      <c r="H9" s="258"/>
      <c r="I9" s="129"/>
      <c r="J9" s="397"/>
      <c r="K9" s="398"/>
      <c r="L9" s="263"/>
    </row>
    <row r="10" spans="2:13" x14ac:dyDescent="0.3">
      <c r="B10" s="241"/>
      <c r="C10" s="256"/>
      <c r="D10" s="256"/>
      <c r="E10" s="256"/>
      <c r="F10" s="120"/>
      <c r="G10" s="120"/>
      <c r="H10" s="259"/>
      <c r="I10" s="130"/>
      <c r="J10" s="399"/>
      <c r="K10" s="400"/>
      <c r="L10" s="264"/>
    </row>
    <row r="11" spans="2:13" ht="16.2" thickBot="1" x14ac:dyDescent="0.35">
      <c r="B11" s="241"/>
      <c r="C11" s="256"/>
      <c r="D11" s="256"/>
      <c r="E11" s="256"/>
      <c r="F11" s="106"/>
      <c r="G11" s="106"/>
      <c r="H11" s="260"/>
      <c r="I11" s="20"/>
      <c r="J11" s="401"/>
      <c r="K11" s="401"/>
      <c r="L11" s="264"/>
    </row>
    <row r="12" spans="2:13" ht="16.2" thickBot="1" x14ac:dyDescent="0.35">
      <c r="B12" s="236"/>
      <c r="C12" s="257"/>
      <c r="D12" s="257"/>
      <c r="E12" s="257"/>
      <c r="F12" s="107"/>
      <c r="G12" s="107"/>
      <c r="H12" s="261"/>
      <c r="I12" s="19"/>
      <c r="J12" s="402"/>
      <c r="K12" s="402"/>
      <c r="L12" s="265"/>
      <c r="M12" s="262"/>
    </row>
    <row r="13" spans="2:13" ht="11.4" customHeight="1" thickBot="1" x14ac:dyDescent="0.35"/>
    <row r="14" spans="2:13" ht="16.2" thickBot="1" x14ac:dyDescent="0.35">
      <c r="B14" s="351" t="s">
        <v>121</v>
      </c>
      <c r="C14" s="352"/>
      <c r="D14" s="352"/>
      <c r="E14" s="352"/>
      <c r="F14" s="352"/>
      <c r="G14" s="352"/>
      <c r="H14" s="352"/>
      <c r="I14" s="352"/>
      <c r="J14" s="352"/>
      <c r="K14" s="352"/>
      <c r="L14" s="353"/>
    </row>
    <row r="15" spans="2:13" ht="6" customHeight="1" thickBot="1" x14ac:dyDescent="0.35"/>
    <row r="16" spans="2:13" ht="16.2" thickBot="1" x14ac:dyDescent="0.35">
      <c r="B16" s="271" t="s">
        <v>104</v>
      </c>
      <c r="C16" s="272" t="s">
        <v>66</v>
      </c>
      <c r="D16" s="272" t="s">
        <v>28</v>
      </c>
      <c r="E16" s="272" t="s">
        <v>117</v>
      </c>
      <c r="F16" s="272" t="s">
        <v>118</v>
      </c>
      <c r="G16" s="272" t="s">
        <v>68</v>
      </c>
      <c r="H16" s="272" t="s">
        <v>75</v>
      </c>
      <c r="I16" s="272" t="s">
        <v>85</v>
      </c>
      <c r="J16" s="385" t="s">
        <v>90</v>
      </c>
      <c r="K16" s="385"/>
      <c r="L16" s="273" t="s">
        <v>119</v>
      </c>
      <c r="M16" s="273" t="s">
        <v>120</v>
      </c>
    </row>
    <row r="17" spans="2:13" ht="4.95" customHeight="1" thickBot="1" x14ac:dyDescent="0.35">
      <c r="K17" s="1"/>
    </row>
    <row r="18" spans="2:13" ht="16.95" customHeight="1" x14ac:dyDescent="0.3">
      <c r="B18" s="238"/>
      <c r="C18" s="255"/>
      <c r="D18" s="255"/>
      <c r="E18" s="255"/>
      <c r="F18" s="105"/>
      <c r="G18" s="105"/>
      <c r="H18" s="258"/>
      <c r="I18" s="129"/>
      <c r="J18" s="397"/>
      <c r="K18" s="398"/>
      <c r="L18" s="263"/>
    </row>
    <row r="19" spans="2:13" ht="16.95" customHeight="1" x14ac:dyDescent="0.3">
      <c r="B19" s="241"/>
      <c r="C19" s="256"/>
      <c r="D19" s="256"/>
      <c r="E19" s="256"/>
      <c r="F19" s="120"/>
      <c r="G19" s="120"/>
      <c r="H19" s="259"/>
      <c r="I19" s="130"/>
      <c r="J19" s="399"/>
      <c r="K19" s="400"/>
      <c r="L19" s="264"/>
    </row>
    <row r="20" spans="2:13" ht="16.95" customHeight="1" thickBot="1" x14ac:dyDescent="0.35">
      <c r="B20" s="241"/>
      <c r="C20" s="256"/>
      <c r="D20" s="256"/>
      <c r="E20" s="256"/>
      <c r="F20" s="106"/>
      <c r="G20" s="106"/>
      <c r="H20" s="260"/>
      <c r="I20" s="20"/>
      <c r="J20" s="401"/>
      <c r="K20" s="401"/>
      <c r="L20" s="264"/>
    </row>
    <row r="21" spans="2:13" ht="16.2" thickBot="1" x14ac:dyDescent="0.35">
      <c r="B21" s="236"/>
      <c r="C21" s="257"/>
      <c r="D21" s="257"/>
      <c r="E21" s="257"/>
      <c r="F21" s="107"/>
      <c r="G21" s="107"/>
      <c r="H21" s="261"/>
      <c r="I21" s="19"/>
      <c r="J21" s="402"/>
      <c r="K21" s="402"/>
      <c r="L21" s="265"/>
      <c r="M21" s="262"/>
    </row>
    <row r="22" spans="2:13" ht="4.2" customHeight="1" x14ac:dyDescent="0.3"/>
    <row r="23" spans="2:13" ht="13.2" customHeight="1" x14ac:dyDescent="0.3">
      <c r="B23" s="396" t="s">
        <v>51</v>
      </c>
      <c r="C23" s="396"/>
      <c r="D23" s="396"/>
      <c r="E23" s="396"/>
      <c r="F23" s="396"/>
      <c r="G23" s="396"/>
      <c r="H23" s="396"/>
      <c r="I23" s="396"/>
      <c r="J23" s="396"/>
      <c r="K23" s="396"/>
      <c r="L23" s="396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19921875" customWidth="1"/>
    <col min="2" max="2" width="23.19921875" customWidth="1"/>
    <col min="3" max="3" width="16.69921875" style="5" customWidth="1"/>
    <col min="4" max="4" width="16.19921875" customWidth="1"/>
    <col min="5" max="5" width="18.19921875" customWidth="1"/>
    <col min="6" max="7" width="17.69921875" style="5" customWidth="1"/>
    <col min="8" max="8" width="17.69921875" style="8" customWidth="1"/>
    <col min="9" max="9" width="3.19921875" customWidth="1"/>
  </cols>
  <sheetData>
    <row r="1" spans="2:10" ht="2.4" customHeight="1" thickBot="1" x14ac:dyDescent="0.35"/>
    <row r="2" spans="2:10" ht="15.6" customHeight="1" x14ac:dyDescent="0.3">
      <c r="B2" s="409" t="s">
        <v>88</v>
      </c>
      <c r="C2" s="410"/>
      <c r="D2" s="410"/>
      <c r="E2" s="410"/>
      <c r="F2" s="410"/>
      <c r="G2" s="410"/>
      <c r="H2" s="410"/>
      <c r="I2" s="410"/>
      <c r="J2" s="411"/>
    </row>
    <row r="3" spans="2:10" ht="16.2" customHeight="1" thickBot="1" x14ac:dyDescent="0.35">
      <c r="B3" s="412"/>
      <c r="C3" s="413"/>
      <c r="D3" s="413"/>
      <c r="E3" s="413"/>
      <c r="F3" s="413"/>
      <c r="G3" s="413"/>
      <c r="H3" s="413"/>
      <c r="I3" s="413"/>
      <c r="J3" s="414"/>
    </row>
    <row r="4" spans="2:10" ht="4.95" customHeight="1" thickBot="1" x14ac:dyDescent="0.35">
      <c r="C4" s="7"/>
      <c r="F4" s="7"/>
      <c r="G4" s="7"/>
      <c r="H4" s="9"/>
    </row>
    <row r="5" spans="2:10" ht="16.2" thickBot="1" x14ac:dyDescent="0.35">
      <c r="B5" s="244" t="s">
        <v>122</v>
      </c>
      <c r="C5" s="11" t="s">
        <v>66</v>
      </c>
      <c r="D5" s="245" t="s">
        <v>90</v>
      </c>
      <c r="E5" s="245" t="s">
        <v>123</v>
      </c>
      <c r="F5" s="12" t="s">
        <v>92</v>
      </c>
      <c r="G5" s="13" t="s">
        <v>93</v>
      </c>
      <c r="H5" s="14" t="s">
        <v>124</v>
      </c>
      <c r="I5" s="416" t="s">
        <v>125</v>
      </c>
      <c r="J5" s="417"/>
    </row>
    <row r="6" spans="2:10" ht="3.6" customHeight="1" thickBot="1" x14ac:dyDescent="0.35">
      <c r="C6" s="7"/>
      <c r="F6" s="7"/>
      <c r="G6" s="7"/>
      <c r="H6" s="9"/>
    </row>
    <row r="7" spans="2:10" ht="16.2" thickBot="1" x14ac:dyDescent="0.35">
      <c r="B7" s="321" t="s">
        <v>96</v>
      </c>
      <c r="C7" s="322"/>
      <c r="D7" s="322"/>
      <c r="E7" s="322"/>
      <c r="F7" s="322"/>
      <c r="G7" s="322"/>
      <c r="H7" s="415"/>
    </row>
    <row r="8" spans="2:10" ht="4.95" customHeight="1" thickBot="1" x14ac:dyDescent="0.35">
      <c r="C8" s="7"/>
      <c r="F8" s="7"/>
      <c r="G8" s="7"/>
      <c r="H8" s="9"/>
    </row>
    <row r="9" spans="2:10" x14ac:dyDescent="0.3">
      <c r="B9" s="96" t="s">
        <v>126</v>
      </c>
      <c r="C9" s="139">
        <v>50000</v>
      </c>
      <c r="D9" s="118"/>
      <c r="E9" s="108"/>
      <c r="F9" s="139">
        <v>50000</v>
      </c>
      <c r="G9" s="119"/>
      <c r="H9" s="110"/>
    </row>
    <row r="10" spans="2:10" x14ac:dyDescent="0.3">
      <c r="B10" s="97" t="s">
        <v>127</v>
      </c>
      <c r="C10" s="141">
        <v>2000</v>
      </c>
      <c r="D10" s="120"/>
      <c r="E10" s="106"/>
      <c r="F10" s="141">
        <v>2000</v>
      </c>
      <c r="G10" s="121"/>
      <c r="H10" s="112"/>
    </row>
    <row r="11" spans="2:10" ht="16.2" thickBot="1" x14ac:dyDescent="0.35">
      <c r="B11" s="122"/>
      <c r="C11" s="146"/>
      <c r="D11" s="123"/>
      <c r="E11" s="124"/>
      <c r="F11" s="146"/>
      <c r="G11" s="125"/>
      <c r="H11" s="126"/>
    </row>
    <row r="12" spans="2:10" ht="16.2" thickBot="1" x14ac:dyDescent="0.35">
      <c r="B12" s="99"/>
      <c r="C12" s="142"/>
      <c r="D12" s="127"/>
      <c r="E12" s="107"/>
      <c r="F12" s="142"/>
      <c r="G12" s="19"/>
      <c r="H12" s="128"/>
      <c r="I12" s="418">
        <f>SUM(F9:F12)</f>
        <v>52000</v>
      </c>
      <c r="J12" s="419"/>
    </row>
    <row r="13" spans="2:10" ht="4.95" customHeight="1" x14ac:dyDescent="0.3">
      <c r="C13" s="7"/>
      <c r="F13" s="7"/>
      <c r="G13" s="7"/>
      <c r="H13" s="9"/>
    </row>
    <row r="14" spans="2:10" x14ac:dyDescent="0.3">
      <c r="B14" s="338" t="s">
        <v>97</v>
      </c>
      <c r="C14" s="338"/>
      <c r="D14" s="338"/>
      <c r="E14" s="338"/>
      <c r="F14" s="338"/>
      <c r="G14" s="338"/>
      <c r="H14" s="338"/>
    </row>
    <row r="15" spans="2:10" ht="4.95" customHeight="1" thickBot="1" x14ac:dyDescent="0.35">
      <c r="C15" s="7"/>
      <c r="F15" s="7"/>
      <c r="G15" s="7"/>
      <c r="H15" s="9"/>
    </row>
    <row r="16" spans="2:10" x14ac:dyDescent="0.3">
      <c r="B16" s="96" t="s">
        <v>128</v>
      </c>
      <c r="C16" s="139">
        <v>25000</v>
      </c>
      <c r="D16" s="105" t="s">
        <v>129</v>
      </c>
      <c r="E16" s="105" t="s">
        <v>130</v>
      </c>
      <c r="F16" s="139">
        <v>20000</v>
      </c>
      <c r="G16" s="115" t="s">
        <v>131</v>
      </c>
      <c r="H16" s="110" t="s">
        <v>132</v>
      </c>
    </row>
    <row r="17" spans="2:10" x14ac:dyDescent="0.3">
      <c r="B17" s="97" t="s">
        <v>133</v>
      </c>
      <c r="C17" s="141">
        <v>10000</v>
      </c>
      <c r="D17" s="172">
        <v>4.4999999999999998E-2</v>
      </c>
      <c r="E17" s="173">
        <v>0.42857142857142855</v>
      </c>
      <c r="F17" s="141">
        <v>9000</v>
      </c>
      <c r="G17" s="116" t="s">
        <v>131</v>
      </c>
      <c r="H17" s="112" t="s">
        <v>132</v>
      </c>
    </row>
    <row r="18" spans="2:10" ht="16.2" thickBot="1" x14ac:dyDescent="0.35">
      <c r="B18" s="97" t="s">
        <v>134</v>
      </c>
      <c r="C18" s="141">
        <v>4000</v>
      </c>
      <c r="D18" s="120"/>
      <c r="E18" s="120"/>
      <c r="F18" s="141">
        <v>0</v>
      </c>
      <c r="G18" s="116" t="s">
        <v>135</v>
      </c>
      <c r="H18" s="112" t="s">
        <v>132</v>
      </c>
    </row>
    <row r="19" spans="2:10" ht="16.2" thickBot="1" x14ac:dyDescent="0.35">
      <c r="B19" s="99"/>
      <c r="C19" s="142"/>
      <c r="D19" s="127"/>
      <c r="E19" s="127"/>
      <c r="F19" s="142"/>
      <c r="G19" s="117"/>
      <c r="H19" s="114"/>
      <c r="I19" s="403">
        <f>SUM(F16:F19)</f>
        <v>29000</v>
      </c>
      <c r="J19" s="357"/>
    </row>
    <row r="20" spans="2:10" ht="4.95" customHeight="1" x14ac:dyDescent="0.3">
      <c r="C20" s="7"/>
      <c r="F20" s="7"/>
      <c r="G20" s="7"/>
      <c r="H20" s="9"/>
    </row>
    <row r="21" spans="2:10" x14ac:dyDescent="0.3">
      <c r="B21" s="338" t="s">
        <v>98</v>
      </c>
      <c r="C21" s="338"/>
      <c r="D21" s="338"/>
      <c r="E21" s="338"/>
      <c r="F21" s="338"/>
      <c r="G21" s="338"/>
      <c r="H21" s="338"/>
    </row>
    <row r="22" spans="2:10" ht="4.95" customHeight="1" thickBot="1" x14ac:dyDescent="0.35">
      <c r="C22" s="7"/>
      <c r="F22" s="7"/>
      <c r="G22" s="7"/>
      <c r="H22" s="9"/>
    </row>
    <row r="23" spans="2:10" x14ac:dyDescent="0.3">
      <c r="B23" s="96"/>
      <c r="C23" s="139"/>
      <c r="D23" s="108"/>
      <c r="E23" s="108"/>
      <c r="F23" s="139"/>
      <c r="G23" s="109"/>
      <c r="H23" s="110"/>
    </row>
    <row r="24" spans="2:10" ht="16.2" thickBot="1" x14ac:dyDescent="0.35">
      <c r="B24" s="97"/>
      <c r="C24" s="141"/>
      <c r="D24" s="106"/>
      <c r="E24" s="106"/>
      <c r="F24" s="141"/>
      <c r="G24" s="111"/>
      <c r="H24" s="112"/>
    </row>
    <row r="25" spans="2:10" ht="16.2" thickBot="1" x14ac:dyDescent="0.35">
      <c r="B25" s="99"/>
      <c r="C25" s="142"/>
      <c r="D25" s="107"/>
      <c r="E25" s="107"/>
      <c r="F25" s="142"/>
      <c r="G25" s="113"/>
      <c r="H25" s="114"/>
      <c r="I25" s="403">
        <f>SUM(F23:F25)</f>
        <v>0</v>
      </c>
      <c r="J25" s="357"/>
    </row>
    <row r="26" spans="2:10" ht="1.95" customHeight="1" x14ac:dyDescent="0.3">
      <c r="C26" s="7"/>
      <c r="F26" s="7"/>
      <c r="G26" s="7"/>
      <c r="H26" s="9"/>
    </row>
    <row r="27" spans="2:10" ht="0.6" customHeight="1" thickBot="1" x14ac:dyDescent="0.35">
      <c r="C27" s="7"/>
      <c r="F27" s="7"/>
      <c r="G27" s="7"/>
      <c r="H27" s="9"/>
    </row>
    <row r="28" spans="2:10" ht="16.2" thickBot="1" x14ac:dyDescent="0.35">
      <c r="C28" s="7"/>
      <c r="F28" s="10" t="s">
        <v>136</v>
      </c>
      <c r="G28" s="350" t="s">
        <v>137</v>
      </c>
      <c r="H28" s="381"/>
      <c r="I28" s="407">
        <f>SUM(I12,I19,I25)</f>
        <v>81000</v>
      </c>
      <c r="J28" s="408"/>
    </row>
    <row r="29" spans="2:10" ht="10.95" customHeight="1" thickBot="1" x14ac:dyDescent="0.35">
      <c r="B29" s="404" t="s">
        <v>51</v>
      </c>
      <c r="C29" s="405"/>
      <c r="D29" s="405"/>
      <c r="E29" s="405"/>
      <c r="F29" s="405"/>
      <c r="G29" s="405"/>
      <c r="H29" s="405"/>
      <c r="I29" s="405"/>
      <c r="J29" s="406"/>
    </row>
    <row r="32" spans="2:10" hidden="1" x14ac:dyDescent="0.3">
      <c r="B32" t="s">
        <v>138</v>
      </c>
    </row>
    <row r="33" spans="2:2" hidden="1" x14ac:dyDescent="0.3">
      <c r="B33" t="s">
        <v>132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85" zoomScaleNormal="85" workbookViewId="0">
      <selection activeCell="B2" sqref="B2:G3"/>
    </sheetView>
  </sheetViews>
  <sheetFormatPr baseColWidth="10" defaultColWidth="11" defaultRowHeight="15.6" x14ac:dyDescent="0.3"/>
  <cols>
    <col min="1" max="1" width="5" customWidth="1"/>
    <col min="2" max="2" width="17.19921875" customWidth="1"/>
    <col min="3" max="3" width="19.19921875" customWidth="1"/>
    <col min="4" max="4" width="15.5" customWidth="1"/>
    <col min="7" max="7" width="13" customWidth="1"/>
  </cols>
  <sheetData>
    <row r="1" spans="2:7" ht="4.2" customHeight="1" thickBot="1" x14ac:dyDescent="0.35"/>
    <row r="2" spans="2:7" ht="19.95" customHeight="1" x14ac:dyDescent="0.3">
      <c r="B2" s="331" t="s">
        <v>139</v>
      </c>
      <c r="C2" s="332"/>
      <c r="D2" s="332"/>
      <c r="E2" s="332"/>
      <c r="F2" s="332"/>
      <c r="G2" s="333"/>
    </row>
    <row r="3" spans="2:7" ht="19.95" customHeight="1" thickBot="1" x14ac:dyDescent="0.35">
      <c r="B3" s="334"/>
      <c r="C3" s="335"/>
      <c r="D3" s="335"/>
      <c r="E3" s="335"/>
      <c r="F3" s="335"/>
      <c r="G3" s="336"/>
    </row>
    <row r="4" spans="2:7" ht="4.95" customHeight="1" thickBot="1" x14ac:dyDescent="0.35"/>
    <row r="5" spans="2:7" ht="16.95" customHeight="1" thickBot="1" x14ac:dyDescent="0.35">
      <c r="B5" s="426" t="s">
        <v>140</v>
      </c>
      <c r="C5" s="427"/>
      <c r="D5" s="427"/>
      <c r="E5" s="355"/>
      <c r="F5" s="420">
        <v>200</v>
      </c>
      <c r="G5" s="421"/>
    </row>
    <row r="6" spans="2:7" ht="16.2" thickBot="1" x14ac:dyDescent="0.35">
      <c r="B6" s="351" t="s">
        <v>141</v>
      </c>
      <c r="C6" s="352"/>
      <c r="D6" s="352"/>
      <c r="E6" s="352"/>
      <c r="F6" s="352"/>
      <c r="G6" s="353"/>
    </row>
    <row r="7" spans="2:7" ht="4.95" customHeight="1" thickBot="1" x14ac:dyDescent="0.35"/>
    <row r="8" spans="2:7" ht="16.2" thickBot="1" x14ac:dyDescent="0.35">
      <c r="B8" s="269" t="s">
        <v>142</v>
      </c>
      <c r="C8" s="270" t="s">
        <v>143</v>
      </c>
      <c r="D8" s="270" t="s">
        <v>144</v>
      </c>
      <c r="E8" s="428" t="s">
        <v>40</v>
      </c>
      <c r="F8" s="428"/>
      <c r="G8" s="429"/>
    </row>
    <row r="9" spans="2:7" ht="6" customHeight="1" thickBot="1" x14ac:dyDescent="0.35"/>
    <row r="10" spans="2:7" ht="46.2" customHeight="1" x14ac:dyDescent="0.3">
      <c r="B10" s="132" t="s">
        <v>145</v>
      </c>
      <c r="C10" s="129"/>
      <c r="D10" s="239" t="s">
        <v>146</v>
      </c>
      <c r="E10" s="430" t="s">
        <v>147</v>
      </c>
      <c r="F10" s="430"/>
      <c r="G10" s="431"/>
    </row>
    <row r="11" spans="2:7" ht="36.6" customHeight="1" x14ac:dyDescent="0.3">
      <c r="B11" s="133" t="s">
        <v>148</v>
      </c>
      <c r="C11" s="130"/>
      <c r="D11" s="242" t="s">
        <v>149</v>
      </c>
      <c r="E11" s="422" t="s">
        <v>150</v>
      </c>
      <c r="F11" s="422"/>
      <c r="G11" s="423"/>
    </row>
    <row r="12" spans="2:7" ht="16.2" thickBot="1" x14ac:dyDescent="0.35">
      <c r="B12" s="134"/>
      <c r="C12" s="131"/>
      <c r="D12" s="237"/>
      <c r="E12" s="424"/>
      <c r="F12" s="424"/>
      <c r="G12" s="425"/>
    </row>
    <row r="13" spans="2:7" ht="3" customHeight="1" x14ac:dyDescent="0.3"/>
    <row r="14" spans="2:7" x14ac:dyDescent="0.3">
      <c r="B14" s="358" t="s">
        <v>151</v>
      </c>
      <c r="C14" s="358"/>
      <c r="D14" s="358"/>
      <c r="E14" s="358"/>
      <c r="F14" s="358"/>
      <c r="G14" s="358"/>
    </row>
    <row r="15" spans="2:7" ht="6" customHeight="1" thickBot="1" x14ac:dyDescent="0.35"/>
    <row r="16" spans="2:7" ht="16.2" thickBot="1" x14ac:dyDescent="0.35">
      <c r="B16" s="269" t="s">
        <v>142</v>
      </c>
      <c r="C16" s="270" t="s">
        <v>143</v>
      </c>
      <c r="D16" s="270" t="s">
        <v>144</v>
      </c>
      <c r="E16" s="428" t="s">
        <v>40</v>
      </c>
      <c r="F16" s="428"/>
      <c r="G16" s="429"/>
    </row>
    <row r="17" spans="2:7" ht="6" customHeight="1" thickBot="1" x14ac:dyDescent="0.35"/>
    <row r="18" spans="2:7" x14ac:dyDescent="0.3">
      <c r="B18" s="132"/>
      <c r="C18" s="249"/>
      <c r="D18" s="239"/>
      <c r="E18" s="430"/>
      <c r="F18" s="430"/>
      <c r="G18" s="431"/>
    </row>
    <row r="19" spans="2:7" x14ac:dyDescent="0.3">
      <c r="B19" s="133"/>
      <c r="C19" s="251"/>
      <c r="D19" s="242"/>
      <c r="E19" s="422"/>
      <c r="F19" s="422"/>
      <c r="G19" s="423"/>
    </row>
    <row r="20" spans="2:7" x14ac:dyDescent="0.3">
      <c r="B20" s="133"/>
      <c r="C20" s="251"/>
      <c r="D20" s="242"/>
      <c r="E20" s="422"/>
      <c r="F20" s="422"/>
      <c r="G20" s="423"/>
    </row>
    <row r="21" spans="2:7" x14ac:dyDescent="0.3">
      <c r="B21" s="133"/>
      <c r="C21" s="251"/>
      <c r="D21" s="242"/>
      <c r="E21" s="422"/>
      <c r="F21" s="422"/>
      <c r="G21" s="423"/>
    </row>
    <row r="22" spans="2:7" ht="16.2" thickBot="1" x14ac:dyDescent="0.35">
      <c r="B22" s="134"/>
      <c r="C22" s="253"/>
      <c r="D22" s="237"/>
      <c r="E22" s="424"/>
      <c r="F22" s="424"/>
      <c r="G22" s="425"/>
    </row>
    <row r="23" spans="2:7" ht="3" customHeight="1" thickBot="1" x14ac:dyDescent="0.35"/>
    <row r="24" spans="2:7" ht="12" customHeight="1" thickBot="1" x14ac:dyDescent="0.35">
      <c r="B24" s="404" t="s">
        <v>51</v>
      </c>
      <c r="C24" s="405"/>
      <c r="D24" s="405"/>
      <c r="E24" s="405"/>
      <c r="F24" s="405"/>
      <c r="G24" s="406"/>
    </row>
  </sheetData>
  <mergeCells count="16">
    <mergeCell ref="B24:G24"/>
    <mergeCell ref="E12:G12"/>
    <mergeCell ref="B6:G6"/>
    <mergeCell ref="B14:G14"/>
    <mergeCell ref="E16:G16"/>
    <mergeCell ref="E18:G18"/>
    <mergeCell ref="E19:G19"/>
    <mergeCell ref="E8:G8"/>
    <mergeCell ref="E10:G10"/>
    <mergeCell ref="E11:G11"/>
    <mergeCell ref="F5:G5"/>
    <mergeCell ref="E20:G20"/>
    <mergeCell ref="E21:G21"/>
    <mergeCell ref="E22:G22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69921875" customWidth="1"/>
    <col min="5" max="5" width="2.19921875" customWidth="1"/>
    <col min="8" max="8" width="10.19921875" customWidth="1"/>
    <col min="9" max="9" width="2.19921875" customWidth="1"/>
    <col min="12" max="12" width="11.69921875" customWidth="1"/>
    <col min="13" max="13" width="2.1992187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457" t="s">
        <v>152</v>
      </c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9"/>
    </row>
    <row r="5" spans="2:16" ht="16.2" thickBot="1" x14ac:dyDescent="0.35">
      <c r="B5" s="460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2"/>
    </row>
    <row r="8" spans="2:16" ht="16.2" thickBot="1" x14ac:dyDescent="0.35"/>
    <row r="9" spans="2:16" x14ac:dyDescent="0.3">
      <c r="B9" s="343" t="s">
        <v>153</v>
      </c>
      <c r="C9" s="380"/>
      <c r="D9" s="344"/>
      <c r="F9" s="463" t="s">
        <v>154</v>
      </c>
      <c r="G9" s="464"/>
      <c r="H9" s="465"/>
      <c r="J9" s="463" t="s">
        <v>155</v>
      </c>
      <c r="K9" s="464"/>
      <c r="L9" s="465"/>
      <c r="N9" s="343" t="s">
        <v>156</v>
      </c>
      <c r="O9" s="344"/>
    </row>
    <row r="10" spans="2:16" ht="16.2" thickBot="1" x14ac:dyDescent="0.35">
      <c r="B10" s="469"/>
      <c r="C10" s="358"/>
      <c r="D10" s="470"/>
      <c r="F10" s="466"/>
      <c r="G10" s="467"/>
      <c r="H10" s="468"/>
      <c r="J10" s="466"/>
      <c r="K10" s="467"/>
      <c r="L10" s="468"/>
      <c r="N10" s="349"/>
      <c r="O10" s="381"/>
    </row>
    <row r="11" spans="2:16" ht="15" customHeight="1" x14ac:dyDescent="0.3">
      <c r="B11" s="432" t="s">
        <v>157</v>
      </c>
      <c r="C11" s="433"/>
      <c r="D11" s="434"/>
      <c r="F11" s="438" t="s">
        <v>158</v>
      </c>
      <c r="G11" s="439"/>
      <c r="H11" s="440"/>
      <c r="J11" s="447" t="s">
        <v>159</v>
      </c>
      <c r="K11" s="448"/>
      <c r="L11" s="449"/>
      <c r="N11" s="438" t="s">
        <v>160</v>
      </c>
      <c r="O11" s="456"/>
    </row>
    <row r="12" spans="2:16" x14ac:dyDescent="0.3">
      <c r="B12" s="432"/>
      <c r="C12" s="433"/>
      <c r="D12" s="434"/>
      <c r="F12" s="441"/>
      <c r="G12" s="442"/>
      <c r="H12" s="443"/>
      <c r="J12" s="450"/>
      <c r="K12" s="451"/>
      <c r="L12" s="452"/>
      <c r="N12" s="432"/>
      <c r="O12" s="434"/>
    </row>
    <row r="13" spans="2:16" x14ac:dyDescent="0.3">
      <c r="B13" s="432"/>
      <c r="C13" s="433"/>
      <c r="D13" s="434"/>
      <c r="F13" s="441"/>
      <c r="G13" s="442"/>
      <c r="H13" s="443"/>
      <c r="J13" s="450"/>
      <c r="K13" s="451"/>
      <c r="L13" s="452"/>
      <c r="N13" s="432"/>
      <c r="O13" s="434"/>
    </row>
    <row r="14" spans="2:16" x14ac:dyDescent="0.3">
      <c r="B14" s="432"/>
      <c r="C14" s="433"/>
      <c r="D14" s="434"/>
      <c r="F14" s="441"/>
      <c r="G14" s="442"/>
      <c r="H14" s="443"/>
      <c r="J14" s="450"/>
      <c r="K14" s="451"/>
      <c r="L14" s="452"/>
      <c r="N14" s="432"/>
      <c r="O14" s="434"/>
      <c r="P14" s="6"/>
    </row>
    <row r="15" spans="2:16" x14ac:dyDescent="0.3">
      <c r="B15" s="432"/>
      <c r="C15" s="433"/>
      <c r="D15" s="434"/>
      <c r="F15" s="441"/>
      <c r="G15" s="442"/>
      <c r="H15" s="443"/>
      <c r="J15" s="450"/>
      <c r="K15" s="451"/>
      <c r="L15" s="452"/>
      <c r="N15" s="432"/>
      <c r="O15" s="434"/>
      <c r="P15" s="6"/>
    </row>
    <row r="16" spans="2:16" x14ac:dyDescent="0.3">
      <c r="B16" s="432"/>
      <c r="C16" s="433"/>
      <c r="D16" s="434"/>
      <c r="F16" s="441"/>
      <c r="G16" s="442"/>
      <c r="H16" s="443"/>
      <c r="J16" s="450"/>
      <c r="K16" s="451"/>
      <c r="L16" s="452"/>
      <c r="N16" s="432"/>
      <c r="O16" s="434"/>
      <c r="P16" s="6"/>
    </row>
    <row r="17" spans="2:16" x14ac:dyDescent="0.3">
      <c r="B17" s="432"/>
      <c r="C17" s="433"/>
      <c r="D17" s="434"/>
      <c r="F17" s="441"/>
      <c r="G17" s="442"/>
      <c r="H17" s="443"/>
      <c r="J17" s="450"/>
      <c r="K17" s="451"/>
      <c r="L17" s="452"/>
      <c r="N17" s="432"/>
      <c r="O17" s="434"/>
      <c r="P17" s="6"/>
    </row>
    <row r="18" spans="2:16" ht="16.95" customHeight="1" x14ac:dyDescent="0.3">
      <c r="B18" s="432"/>
      <c r="C18" s="433"/>
      <c r="D18" s="434"/>
      <c r="F18" s="441"/>
      <c r="G18" s="442"/>
      <c r="H18" s="443"/>
      <c r="J18" s="450"/>
      <c r="K18" s="451"/>
      <c r="L18" s="452"/>
      <c r="N18" s="432"/>
      <c r="O18" s="434"/>
      <c r="P18" s="6"/>
    </row>
    <row r="19" spans="2:16" ht="15.45" customHeight="1" x14ac:dyDescent="0.3">
      <c r="B19" s="432"/>
      <c r="C19" s="433"/>
      <c r="D19" s="434"/>
      <c r="F19" s="441"/>
      <c r="G19" s="442"/>
      <c r="H19" s="443"/>
      <c r="J19" s="450"/>
      <c r="K19" s="451"/>
      <c r="L19" s="452"/>
      <c r="N19" s="432"/>
      <c r="O19" s="434"/>
    </row>
    <row r="20" spans="2:16" x14ac:dyDescent="0.3">
      <c r="B20" s="432"/>
      <c r="C20" s="433"/>
      <c r="D20" s="434"/>
      <c r="F20" s="441"/>
      <c r="G20" s="442"/>
      <c r="H20" s="443"/>
      <c r="J20" s="450"/>
      <c r="K20" s="451"/>
      <c r="L20" s="452"/>
      <c r="N20" s="432"/>
      <c r="O20" s="434"/>
    </row>
    <row r="21" spans="2:16" x14ac:dyDescent="0.3">
      <c r="B21" s="432"/>
      <c r="C21" s="433"/>
      <c r="D21" s="434"/>
      <c r="F21" s="441"/>
      <c r="G21" s="442"/>
      <c r="H21" s="443"/>
      <c r="J21" s="450"/>
      <c r="K21" s="451"/>
      <c r="L21" s="452"/>
      <c r="N21" s="432"/>
      <c r="O21" s="434"/>
    </row>
    <row r="22" spans="2:16" x14ac:dyDescent="0.3">
      <c r="B22" s="432"/>
      <c r="C22" s="433"/>
      <c r="D22" s="434"/>
      <c r="F22" s="441"/>
      <c r="G22" s="442"/>
      <c r="H22" s="443"/>
      <c r="J22" s="450"/>
      <c r="K22" s="451"/>
      <c r="L22" s="452"/>
      <c r="N22" s="432"/>
      <c r="O22" s="434"/>
    </row>
    <row r="23" spans="2:16" ht="16.2" thickBot="1" x14ac:dyDescent="0.35">
      <c r="B23" s="435"/>
      <c r="C23" s="436"/>
      <c r="D23" s="437"/>
      <c r="F23" s="444"/>
      <c r="G23" s="445"/>
      <c r="H23" s="446"/>
      <c r="J23" s="453"/>
      <c r="K23" s="454"/>
      <c r="L23" s="455"/>
      <c r="N23" s="435"/>
      <c r="O23" s="437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2024-05-28T16:33:51Z</dcterms:modified>
  <cp:category/>
  <cp:contentStatus/>
</cp:coreProperties>
</file>