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0" documentId="8_{1125465F-6C48-4311-BC67-4391B470B94F}" xr6:coauthVersionLast="47" xr6:coauthVersionMax="47" xr10:uidLastSave="{00000000-0000-0000-0000-000000000000}"/>
  <bookViews>
    <workbookView minimized="1" xWindow="16356" yWindow="11796" windowWidth="2388" windowHeight="564" tabRatio="912" firstSheet="1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state="hidden" r:id="rId5"/>
    <sheet name="Patrimoine social" sheetId="18" state="hidden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ommentaires Suivi" sheetId="19" r:id="rId11"/>
    <sheet name="Calcul IR 2" sheetId="13" state="hidden" r:id="rId12"/>
    <sheet name="Impôt 2021 revenus 2020" sheetId="14" state="hidden" r:id="rId13"/>
    <sheet name="Calcul IR Bis Retraite" sheetId="15" state="hidden" r:id="rId14"/>
    <sheet name="Impôt Retraite" sheetId="16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D61" i="4" l="1"/>
  <c r="E35" i="4"/>
  <c r="I63" i="4"/>
  <c r="I33" i="4"/>
  <c r="J31" i="4"/>
  <c r="J30" i="4"/>
  <c r="J14" i="4"/>
  <c r="J15" i="4"/>
  <c r="J16" i="4"/>
  <c r="J13" i="4"/>
  <c r="E8" i="13"/>
  <c r="F8" i="13" s="1"/>
  <c r="D17" i="1"/>
  <c r="D11" i="1"/>
  <c r="G45" i="1"/>
  <c r="H21" i="1"/>
  <c r="H9" i="1"/>
  <c r="H22" i="1"/>
  <c r="D63" i="4" l="1"/>
  <c r="G35" i="4"/>
  <c r="E8" i="10"/>
  <c r="H61" i="4" l="1"/>
  <c r="F61" i="4"/>
  <c r="J61" i="4"/>
  <c r="J35" i="4"/>
  <c r="E15" i="10"/>
  <c r="E16" i="10"/>
  <c r="E17" i="10"/>
  <c r="E14" i="10"/>
  <c r="F22" i="10" l="1"/>
  <c r="F33" i="4" l="1"/>
  <c r="H15" i="1"/>
  <c r="C4" i="14" l="1"/>
  <c r="C3" i="14" l="1"/>
  <c r="O36" i="13" s="1"/>
  <c r="E7" i="13" l="1"/>
  <c r="G31" i="1" l="1"/>
  <c r="J4" i="15" l="1"/>
  <c r="C5" i="16"/>
  <c r="I13" i="15" s="1"/>
  <c r="C3" i="16"/>
  <c r="C37" i="15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D6" i="15"/>
  <c r="E5" i="15"/>
  <c r="D5" i="15"/>
  <c r="E37" i="15" l="1"/>
  <c r="F37" i="15" s="1"/>
  <c r="F8" i="15"/>
  <c r="O30" i="15"/>
  <c r="C10" i="16" s="1"/>
  <c r="I36" i="15" s="1"/>
  <c r="I35" i="15"/>
  <c r="F36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16" i="13" s="1"/>
  <c r="I35" i="13"/>
  <c r="I13" i="13"/>
  <c r="I15" i="13"/>
  <c r="I14" i="13"/>
  <c r="C37" i="13"/>
  <c r="B37" i="13"/>
  <c r="C36" i="13"/>
  <c r="B36" i="13"/>
  <c r="R41" i="13"/>
  <c r="O41" i="13"/>
  <c r="O40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36" i="13" l="1"/>
  <c r="E34" i="13"/>
  <c r="E37" i="13"/>
  <c r="E36" i="13"/>
  <c r="F7" i="13"/>
  <c r="H8" i="1"/>
  <c r="H14" i="1"/>
  <c r="H23" i="1" l="1"/>
  <c r="J3" i="13"/>
  <c r="I10" i="13" s="1"/>
  <c r="D33" i="4"/>
  <c r="J3" i="15"/>
  <c r="D22" i="10"/>
  <c r="F36" i="13"/>
  <c r="F37" i="13"/>
  <c r="C8" i="14" l="1"/>
  <c r="G29" i="1" s="1"/>
  <c r="I33" i="13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H30" i="1" s="1"/>
  <c r="I11" i="13"/>
  <c r="I20" i="13" s="1"/>
  <c r="F27" i="13"/>
  <c r="F28" i="13"/>
  <c r="C12" i="14" l="1"/>
  <c r="I40" i="13"/>
  <c r="I41" i="13" s="1"/>
  <c r="I21" i="13"/>
  <c r="C13" i="14" l="1"/>
  <c r="I22" i="13"/>
  <c r="C14" i="14" l="1"/>
  <c r="D14" i="14" s="1"/>
  <c r="G30" i="1" s="1"/>
  <c r="H32" i="1" s="1"/>
  <c r="C30" i="10" l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tc={0DA5FFEE-24D5-4E6E-AEB2-1FCB1A3BA129}</author>
    <author>tc={C77B03D7-DD8E-46F7-A84B-2C23186E598D}</author>
    <author>tc={8A40CE59-C7F2-4ECB-BA93-EC5F94674062}</author>
  </authors>
  <commentList>
    <comment ref="H22" authorId="0" shapeId="0" xr:uid="{0DA5FFEE-24D5-4E6E-AEB2-1FCB1A3BA12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5959€ par personne pensionnée</t>
      </text>
    </comment>
    <comment ref="G33" authorId="1" shapeId="0" xr:uid="{C77B03D7-DD8E-46F7-A84B-2C23186E598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10.000€ des niches fiscales commun avec les crédits d'impôt
Dons aux œuvres : Entre 66 et 75% des dépenses en fonction des organismes - Plafonné à 20% des revenus</t>
      </text>
    </comment>
    <comment ref="G34" authorId="2" shapeId="0" xr:uid="{8A40CE59-C7F2-4ECB-BA93-EC5F9467406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10.000€ des niches fiscales commun avec les réductions
Employés à domicile : 50% des dépenses plafonnées à 12.000€ (15.000€ pour la première année d'emploi) (soit 6000€ de CI ou 7500€ pour la première année d'emploi) + Majoration de 1.500€ par enfant ou personne de +65 ans à charge (dans la limite de deux majorations) (Soit 750€ de CI supplémentaire dans la limite de 2). Plafond total résumé : 7500€ de Crédit (9000€ la première année) AVEC LES MAJORATIONS 
Frais de garde extérieur : 50% des dépenses plafonnées à 2300€ par enfant (soit 1150€ de crédit d'impôt maxi)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tc={94D4351B-C691-4822-A824-E59C138FD2E5}</author>
    <author>tc={443C3DE1-196B-481D-95F0-46FF326E5F4A}</author>
    <author>tc={48BF648E-3C66-4799-8A9D-1D7FA1B72F48}</author>
    <author>tc={814A89F7-63D6-467D-A8B1-73D841DC5CB5}</author>
    <author>tc={CB178046-EA58-4FF9-9303-F9BF8E9C91B7}</author>
    <author>tc={819C6BD4-72C6-4C86-A432-831BAAAED677}</author>
    <author>tc={498510B1-0CEE-41DB-A6B7-9AF8F6D71DEC}</author>
    <author>tc={A337F14E-4CE7-4EC5-814E-56341E0D11F2}</author>
    <author>tc={ECF5F3FC-E91B-49A9-86C3-74B6FC103792}</author>
    <author>tc={E9D243D8-ADB8-423F-AAD9-285272419F84}</author>
    <author>tc={511323BF-172A-4F57-8BE4-417119F0FA98}</author>
    <author>tc={FB47D159-C280-4AE9-A356-A71610C023B1}</author>
  </authors>
  <commentList>
    <comment ref="I8" authorId="0" shapeId="0" xr:uid="{94D4351B-C691-4822-A824-E59C138FD2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H13" authorId="1" shapeId="0" xr:uid="{443C3DE1-196B-481D-95F0-46FF326E5F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I13" authorId="2" shapeId="0" xr:uid="{48BF648E-3C66-4799-8A9D-1D7FA1B72F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</t>
      </text>
    </comment>
    <comment ref="H14" authorId="3" shapeId="0" xr:uid="{814A89F7-63D6-467D-A8B1-73D841DC5C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I14" authorId="4" shapeId="0" xr:uid="{CB178046-EA58-4FF9-9303-F9BF8E9C91B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H15" authorId="5" shapeId="0" xr:uid="{819C6BD4-72C6-4C86-A432-831BAAAED67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I15" authorId="6" shapeId="0" xr:uid="{498510B1-0CEE-41DB-A6B7-9AF8F6D71DEC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H16" authorId="7" shapeId="0" xr:uid="{A337F14E-4CE7-4EC5-814E-56341E0D11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I16" authorId="8" shapeId="0" xr:uid="{ECF5F3FC-E91B-49A9-86C3-74B6FC10379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B41" authorId="9" shapeId="0" xr:uid="{E9D243D8-ADB8-423F-AAD9-285272419F8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Livrets, Comptes courants, CEL...</t>
      </text>
    </comment>
    <comment ref="B49" authorId="10" shapeId="0" xr:uid="{511323BF-172A-4F57-8BE4-417119F0FA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PPE, PERCO, PERIN, Assurance-vie, PEL</t>
      </text>
    </comment>
    <comment ref="B56" authorId="11" shapeId="0" xr:uid="{FB47D159-C280-4AE9-A356-A71610C023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Crypto, Actions en propre etc...</t>
      </text>
    </comment>
  </commentList>
</comments>
</file>

<file path=xl/sharedStrings.xml><?xml version="1.0" encoding="utf-8"?>
<sst xmlns="http://schemas.openxmlformats.org/spreadsheetml/2006/main" count="363" uniqueCount="246">
  <si>
    <t>AUDIT PATRIMONIAL</t>
  </si>
  <si>
    <t xml:space="preserve">GESTION PRIVÉ </t>
  </si>
  <si>
    <t>&amp;</t>
  </si>
  <si>
    <t>PERSONAL FINANCE</t>
  </si>
  <si>
    <t>ETAT CIVIL</t>
  </si>
  <si>
    <t>RÉMUNÉRATION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</si>
  <si>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</si>
  <si>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</si>
  <si>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</si>
  <si>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</si>
  <si>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</si>
  <si>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</si>
  <si>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</si>
  <si>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</si>
  <si>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Dividendes</t>
  </si>
  <si>
    <t>Type de contrat/Société</t>
  </si>
  <si>
    <t>Mme.</t>
  </si>
  <si>
    <t xml:space="preserve">Situation maritale </t>
  </si>
  <si>
    <t>Marié-Pacsé</t>
  </si>
  <si>
    <t>Autres revenus</t>
  </si>
  <si>
    <t>Loyers</t>
  </si>
  <si>
    <t xml:space="preserve">Régime matrimonial </t>
  </si>
  <si>
    <t>Régime légal : Communauté réduite aux acquets</t>
  </si>
  <si>
    <t>Situation particulière</t>
  </si>
  <si>
    <t>LMNP</t>
  </si>
  <si>
    <t>Garde</t>
  </si>
  <si>
    <t>ENFANTS</t>
  </si>
  <si>
    <t>IMPOSITION</t>
  </si>
  <si>
    <t>Prénoms</t>
  </si>
  <si>
    <t>Age</t>
  </si>
  <si>
    <t>Commentaire</t>
  </si>
  <si>
    <t>RIG</t>
  </si>
  <si>
    <t>TMI</t>
  </si>
  <si>
    <t>Impôt sur le revenu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</si>
  <si>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</si>
  <si>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</si>
  <si>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</si>
  <si>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</si>
  <si>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</si>
  <si>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</si>
  <si>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</si>
  <si>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</si>
  <si>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</si>
  <si>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</si>
  <si>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</si>
  <si>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</si>
  <si>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</si>
  <si>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</si>
  <si>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</si>
  <si>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</si>
  <si>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</si>
  <si>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</si>
  <si>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</si>
  <si>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</si>
  <si>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</si>
  <si>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</si>
  <si>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</si>
  <si>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AUTRE BIENS</t>
  </si>
  <si>
    <t xml:space="preserve">Biens </t>
  </si>
  <si>
    <t>Mensualité</t>
  </si>
  <si>
    <t>Loyer</t>
  </si>
  <si>
    <t>AUTRE EMPRUNTS</t>
  </si>
  <si>
    <t>Destination</t>
  </si>
  <si>
    <t>Montant</t>
  </si>
  <si>
    <t>Taux</t>
  </si>
  <si>
    <t>PROJETS</t>
  </si>
  <si>
    <t>Type</t>
  </si>
  <si>
    <t>TAUX D'ENDETTEMENT ACTUEL</t>
  </si>
  <si>
    <t>PATRIMOINE FINANCIER</t>
  </si>
  <si>
    <t>NOM</t>
  </si>
  <si>
    <t>Rentabilité</t>
  </si>
  <si>
    <t>Disponible</t>
  </si>
  <si>
    <t>Gestionnaire</t>
  </si>
  <si>
    <t>Objectif</t>
  </si>
  <si>
    <t>Liquidités</t>
  </si>
  <si>
    <t>Placements financiers</t>
  </si>
  <si>
    <t>Autres</t>
  </si>
  <si>
    <t>CAPACITE INVESTISSEMENT</t>
  </si>
  <si>
    <t>PREVISION A LA RETRAITE</t>
  </si>
  <si>
    <t>Charges</t>
  </si>
  <si>
    <t>Loyer payé</t>
  </si>
  <si>
    <t>Bien</t>
  </si>
  <si>
    <t>Loyer perçu</t>
  </si>
  <si>
    <t>CESTAS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</si>
  <si>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</si>
  <si>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</si>
  <si>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</si>
  <si>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</si>
  <si>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</si>
  <si>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</si>
  <si>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</si>
  <si>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</si>
  <si>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</si>
  <si>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</si>
  <si>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</si>
  <si>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</si>
  <si>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</si>
  <si>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</si>
  <si>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</si>
  <si>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</si>
  <si>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</si>
  <si>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</si>
  <si>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</si>
  <si>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Compte Courant</t>
  </si>
  <si>
    <t>Livret A</t>
  </si>
  <si>
    <t>Assurance-vie</t>
  </si>
  <si>
    <t>Variable</t>
  </si>
  <si>
    <t>?</t>
  </si>
  <si>
    <t>UFI France</t>
  </si>
  <si>
    <t>Sous Mandat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</si>
  <si>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</si>
  <si>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</si>
  <si>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</si>
  <si>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</si>
  <si>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</si>
  <si>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</si>
  <si>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</si>
  <si>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</si>
  <si>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</si>
  <si>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</si>
  <si>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</si>
  <si>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</si>
  <si>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</si>
  <si>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</si>
  <si>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</si>
  <si>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</si>
  <si>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</si>
  <si>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</si>
  <si>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</si>
  <si>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</si>
  <si>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</si>
  <si>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</si>
  <si>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</si>
  <si>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</si>
  <si>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</si>
  <si>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</si>
  <si>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</si>
  <si>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</si>
  <si>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</si>
  <si>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</si>
  <si>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</si>
  <si>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</si>
  <si>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</si>
  <si>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</si>
  <si>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</si>
  <si>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</si>
  <si>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</si>
  <si>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</si>
  <si>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</si>
  <si>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</si>
  <si>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</si>
  <si>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</si>
  <si>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</si>
  <si>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</si>
  <si>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</si>
  <si>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</si>
  <si>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</si>
  <si>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</si>
  <si>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</si>
  <si>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</si>
  <si>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</si>
  <si>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</si>
  <si>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</si>
  <si>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</si>
  <si>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</si>
  <si>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</si>
  <si>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</si>
  <si>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</si>
  <si>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</si>
  <si>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</si>
  <si>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</si>
  <si>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</si>
  <si>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</si>
  <si>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</si>
  <si>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</si>
  <si>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</si>
  <si>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</si>
  <si>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</si>
  <si>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</si>
  <si>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</si>
  <si>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</si>
  <si>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</si>
  <si>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</si>
  <si>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</si>
  <si>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</si>
  <si>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</si>
  <si>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</si>
  <si>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</si>
  <si>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</si>
  <si>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</si>
  <si>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</si>
  <si>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</si>
  <si>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</si>
  <si>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</si>
  <si>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Calcul TDV</t>
  </si>
  <si>
    <t>BORDEAUX</t>
  </si>
  <si>
    <t>Pensions reçues</t>
  </si>
  <si>
    <t>Montant Brut</t>
  </si>
  <si>
    <t>Imposable</t>
  </si>
  <si>
    <t>Taux moyen</t>
  </si>
  <si>
    <r>
      <t xml:space="preserve">Volonté de </t>
    </r>
    <r>
      <rPr>
        <b/>
        <u/>
        <sz val="12"/>
        <color theme="0"/>
        <rFont val="Calibri"/>
        <family val="2"/>
        <scheme val="minor"/>
      </rPr>
      <t>dynamiser</t>
    </r>
    <r>
      <rPr>
        <sz val="12"/>
        <color theme="0"/>
        <rFont val="Calibri"/>
        <family val="2"/>
        <scheme val="minor"/>
      </rPr>
      <t xml:space="preserve"> l'effort d'épargne</t>
    </r>
  </si>
  <si>
    <t>Capacité d'épargne et horizon d'investissement sur plus de dix ans</t>
  </si>
  <si>
    <r>
      <t xml:space="preserve">Investissement plutôt </t>
    </r>
    <r>
      <rPr>
        <b/>
        <u/>
        <sz val="12"/>
        <color theme="0"/>
        <rFont val="Calibri"/>
        <family val="2"/>
        <scheme val="minor"/>
      </rPr>
      <t>Liquide</t>
    </r>
  </si>
  <si>
    <t>Imposition</t>
  </si>
  <si>
    <t>Frais réels</t>
  </si>
  <si>
    <t>10%</t>
  </si>
  <si>
    <t>Téléphone</t>
  </si>
  <si>
    <t>Mail</t>
  </si>
  <si>
    <t>CONTACTS</t>
  </si>
  <si>
    <t>PATRIMOINE GLOBAL</t>
  </si>
  <si>
    <t>COMMENTAIRE SUIVI</t>
  </si>
  <si>
    <t>M</t>
  </si>
  <si>
    <t>Mensualité / Loyer</t>
  </si>
  <si>
    <t>Durée</t>
  </si>
  <si>
    <t>Résidence
Principale</t>
  </si>
  <si>
    <t>Organisme</t>
  </si>
  <si>
    <t>Ouverture</t>
  </si>
  <si>
    <t>Date</t>
  </si>
  <si>
    <t>Date Acq.</t>
  </si>
  <si>
    <t>PEE</t>
  </si>
  <si>
    <t>Risque (1-7)</t>
  </si>
  <si>
    <t>SYNTHÉSE - PATRIMOINE IMMOBILIER</t>
  </si>
  <si>
    <t>% Total</t>
  </si>
  <si>
    <t>% du Patrimoine</t>
  </si>
  <si>
    <t>Plac. Fin.</t>
  </si>
  <si>
    <t>SYNTHÉSE - PATRIMOINE FINANCIER</t>
  </si>
  <si>
    <t>Marié</t>
  </si>
  <si>
    <t>REVENUS NETS</t>
  </si>
  <si>
    <t>LIEU</t>
  </si>
  <si>
    <t>Parts sociales</t>
  </si>
  <si>
    <t>Crypto</t>
  </si>
  <si>
    <t>BNC/BA</t>
  </si>
  <si>
    <t xml:space="preserve">54 ans </t>
  </si>
  <si>
    <t xml:space="preserve">diplôme ingénieur </t>
  </si>
  <si>
    <t>ingé/informatique</t>
  </si>
  <si>
    <t>Fille</t>
  </si>
  <si>
    <t xml:space="preserve">Garçon </t>
  </si>
  <si>
    <t>stellantis</t>
  </si>
  <si>
    <t xml:space="preserve">Ingé centrale </t>
  </si>
  <si>
    <t>SCELLIER</t>
  </si>
  <si>
    <t xml:space="preserve">Appartement </t>
  </si>
  <si>
    <t xml:space="preserve">Assurance-vie </t>
  </si>
  <si>
    <t>Natixis</t>
  </si>
  <si>
    <t>S</t>
  </si>
  <si>
    <t>Laurent Bauvineau</t>
  </si>
  <si>
    <t xml:space="preserve">Edith Bauvineau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</si>
</sst>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  <numFmt numFmtId="167" formatCode="0.0%"/>
  </numFmts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2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604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29" xfId="1" applyFont="1" applyFill="1" applyBorder="1" applyAlignment="1">
      <alignment horizontal="center"/>
    </xf>
    <xf numFmtId="44" fontId="3" fillId="2" borderId="28" xfId="1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7" borderId="12" xfId="1" applyFont="1" applyFill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2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3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3" fillId="11" borderId="43" xfId="5" applyFont="1" applyFill="1" applyBorder="1" applyAlignment="1" applyProtection="1">
      <alignment horizontal="center" vertical="center"/>
      <protection locked="0" hidden="1"/>
    </xf>
    <xf numFmtId="0" fontId="23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0" fontId="27" fillId="10" borderId="17" xfId="5" applyFont="1" applyFill="1" applyBorder="1" applyAlignment="1" applyProtection="1">
      <alignment horizontal="left" vertical="center"/>
      <protection hidden="1"/>
    </xf>
    <xf numFmtId="0" fontId="27" fillId="10" borderId="0" xfId="5" applyFont="1" applyFill="1" applyAlignment="1" applyProtection="1">
      <alignment horizontal="left" vertical="center"/>
      <protection hidden="1"/>
    </xf>
    <xf numFmtId="164" fontId="27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5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6" fillId="13" borderId="1" xfId="4" applyFont="1" applyFill="1" applyBorder="1" applyAlignment="1" applyProtection="1">
      <alignment horizontal="center" vertical="center"/>
      <protection hidden="1"/>
    </xf>
    <xf numFmtId="9" fontId="16" fillId="13" borderId="12" xfId="4" applyFont="1" applyFill="1" applyBorder="1" applyAlignment="1" applyProtection="1">
      <alignment horizontal="center" vertical="center"/>
      <protection hidden="1"/>
    </xf>
    <xf numFmtId="0" fontId="16" fillId="12" borderId="31" xfId="3" applyFont="1" applyFill="1" applyBorder="1" applyAlignment="1" applyProtection="1">
      <alignment horizontal="center"/>
      <protection hidden="1"/>
    </xf>
    <xf numFmtId="0" fontId="16" fillId="12" borderId="34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6" fillId="13" borderId="7" xfId="4" applyFont="1" applyFill="1" applyBorder="1" applyAlignment="1" applyProtection="1">
      <alignment horizontal="center" vertical="center"/>
      <protection hidden="1"/>
    </xf>
    <xf numFmtId="0" fontId="16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8" borderId="40" xfId="3" applyFont="1" applyFill="1" applyBorder="1" applyAlignment="1" applyProtection="1">
      <alignment horizontal="center" vertical="center"/>
      <protection hidden="1"/>
    </xf>
    <xf numFmtId="0" fontId="16" fillId="8" borderId="45" xfId="3" applyFont="1" applyFill="1" applyBorder="1" applyAlignment="1" applyProtection="1">
      <alignment horizontal="center" vertical="center"/>
      <protection hidden="1"/>
    </xf>
    <xf numFmtId="165" fontId="11" fillId="14" borderId="8" xfId="1" applyNumberFormat="1" applyFont="1" applyFill="1" applyBorder="1" applyProtection="1">
      <protection hidden="1"/>
    </xf>
    <xf numFmtId="165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5" fontId="11" fillId="14" borderId="13" xfId="1" applyNumberFormat="1" applyFont="1" applyFill="1" applyBorder="1" applyProtection="1">
      <protection hidden="1"/>
    </xf>
    <xf numFmtId="0" fontId="29" fillId="8" borderId="6" xfId="3" applyFont="1" applyFill="1" applyBorder="1" applyAlignment="1" applyProtection="1">
      <alignment horizontal="center" vertical="center"/>
      <protection hidden="1"/>
    </xf>
    <xf numFmtId="0" fontId="29" fillId="8" borderId="9" xfId="3" applyFont="1" applyFill="1" applyBorder="1" applyAlignment="1" applyProtection="1">
      <alignment horizontal="center" vertical="center"/>
      <protection hidden="1"/>
    </xf>
    <xf numFmtId="0" fontId="29" fillId="8" borderId="11" xfId="3" applyFont="1" applyFill="1" applyBorder="1" applyAlignment="1" applyProtection="1">
      <alignment horizontal="center" vertical="center"/>
      <protection hidden="1"/>
    </xf>
    <xf numFmtId="0" fontId="29" fillId="8" borderId="6" xfId="3" applyFont="1" applyFill="1" applyBorder="1" applyAlignment="1" applyProtection="1">
      <alignment horizontal="center"/>
      <protection hidden="1"/>
    </xf>
    <xf numFmtId="0" fontId="29" fillId="8" borderId="9" xfId="3" applyFont="1" applyFill="1" applyBorder="1" applyAlignment="1" applyProtection="1">
      <alignment horizontal="center"/>
      <protection hidden="1"/>
    </xf>
    <xf numFmtId="0" fontId="29" fillId="8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Protection="1">
      <protection locked="0"/>
    </xf>
    <xf numFmtId="0" fontId="0" fillId="6" borderId="32" xfId="0" applyFill="1" applyBorder="1" applyAlignment="1" applyProtection="1">
      <alignment horizontal="right"/>
      <protection locked="0"/>
    </xf>
    <xf numFmtId="0" fontId="0" fillId="6" borderId="32" xfId="0" applyFill="1" applyBorder="1" applyProtection="1">
      <protection locked="0"/>
    </xf>
    <xf numFmtId="44" fontId="0" fillId="6" borderId="37" xfId="1" applyFont="1" applyFill="1" applyBorder="1" applyProtection="1">
      <protection locked="0"/>
    </xf>
    <xf numFmtId="44" fontId="0" fillId="6" borderId="38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5" fontId="27" fillId="10" borderId="0" xfId="1" applyNumberFormat="1" applyFont="1" applyFill="1" applyAlignment="1" applyProtection="1">
      <alignment horizontal="center" vertical="center"/>
      <protection hidden="1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4" fontId="27" fillId="10" borderId="0" xfId="1" applyNumberFormat="1" applyFont="1" applyFill="1" applyAlignment="1" applyProtection="1">
      <alignment horizontal="center" vertical="center"/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4" fillId="6" borderId="10" xfId="1" applyNumberFormat="1" applyFont="1" applyFill="1" applyBorder="1" applyAlignment="1" applyProtection="1">
      <protection locked="0"/>
    </xf>
    <xf numFmtId="165" fontId="0" fillId="6" borderId="32" xfId="1" applyNumberFormat="1" applyFont="1" applyFill="1" applyBorder="1" applyProtection="1">
      <protection locked="0"/>
    </xf>
    <xf numFmtId="9" fontId="4" fillId="9" borderId="17" xfId="2" applyFont="1" applyFill="1" applyBorder="1" applyAlignment="1" applyProtection="1">
      <alignment vertical="center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165" fontId="23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0" fontId="4" fillId="0" borderId="36" xfId="0" applyFont="1" applyBorder="1" applyAlignment="1">
      <alignment horizontal="right" vertical="center"/>
    </xf>
    <xf numFmtId="165" fontId="0" fillId="6" borderId="38" xfId="1" applyNumberFormat="1" applyFont="1" applyFill="1" applyBorder="1" applyProtection="1">
      <protection locked="0"/>
    </xf>
    <xf numFmtId="0" fontId="4" fillId="9" borderId="15" xfId="0" applyFont="1" applyFill="1" applyBorder="1" applyAlignment="1">
      <alignment horizontal="right" vertical="center"/>
    </xf>
    <xf numFmtId="0" fontId="0" fillId="9" borderId="15" xfId="0" applyFill="1" applyBorder="1" applyProtection="1">
      <protection locked="0"/>
    </xf>
    <xf numFmtId="0" fontId="3" fillId="4" borderId="46" xfId="0" applyFont="1" applyFill="1" applyBorder="1" applyAlignment="1">
      <alignment horizontal="center" vertical="center"/>
    </xf>
    <xf numFmtId="0" fontId="33" fillId="4" borderId="47" xfId="0" applyFont="1" applyFill="1" applyBorder="1" applyAlignment="1" applyProtection="1">
      <alignment horizontal="center" vertical="center"/>
      <protection locked="0"/>
    </xf>
    <xf numFmtId="9" fontId="34" fillId="4" borderId="30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9" xfId="0" applyFont="1" applyBorder="1"/>
    <xf numFmtId="165" fontId="0" fillId="6" borderId="13" xfId="1" applyNumberFormat="1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9" borderId="0" xfId="2" applyNumberFormat="1" applyFont="1" applyFill="1" applyBorder="1" applyProtection="1"/>
    <xf numFmtId="0" fontId="0" fillId="9" borderId="0" xfId="0" applyFill="1" applyAlignment="1">
      <alignment horizontal="center" vertical="center"/>
    </xf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44" fontId="0" fillId="9" borderId="0" xfId="1" applyFont="1" applyFill="1" applyBorder="1"/>
    <xf numFmtId="44" fontId="0" fillId="9" borderId="0" xfId="1" applyFont="1" applyFill="1" applyBorder="1" applyAlignment="1">
      <alignment horizontal="center" vertical="center"/>
    </xf>
    <xf numFmtId="44" fontId="0" fillId="9" borderId="0" xfId="1" applyFont="1" applyFill="1" applyBorder="1" applyAlignment="1" applyProtection="1">
      <alignment horizontal="center"/>
      <protection locked="0"/>
    </xf>
    <xf numFmtId="44" fontId="0" fillId="9" borderId="0" xfId="1" applyFont="1" applyFill="1" applyBorder="1" applyAlignment="1" applyProtection="1">
      <alignment horizontal="center" vertical="center"/>
      <protection locked="0"/>
    </xf>
    <xf numFmtId="164" fontId="0" fillId="9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29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29" xfId="0" applyNumberFormat="1" applyFill="1" applyBorder="1" applyAlignment="1">
      <alignment horizontal="center" vertical="center"/>
    </xf>
    <xf numFmtId="164" fontId="0" fillId="6" borderId="28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64" fontId="0" fillId="0" borderId="0" xfId="0" applyNumberFormat="1"/>
    <xf numFmtId="164" fontId="0" fillId="6" borderId="28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0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165" fontId="0" fillId="6" borderId="43" xfId="1" applyNumberFormat="1" applyFont="1" applyFill="1" applyBorder="1" applyProtection="1">
      <protection locked="0"/>
    </xf>
    <xf numFmtId="165" fontId="0" fillId="6" borderId="44" xfId="1" applyNumberFormat="1" applyFont="1" applyFill="1" applyBorder="1" applyProtection="1"/>
    <xf numFmtId="0" fontId="38" fillId="18" borderId="27" xfId="0" applyFont="1" applyFill="1" applyBorder="1" applyAlignment="1">
      <alignment horizontal="center"/>
    </xf>
    <xf numFmtId="0" fontId="38" fillId="18" borderId="29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 vertical="center"/>
    </xf>
    <xf numFmtId="0" fontId="35" fillId="18" borderId="29" xfId="0" applyFont="1" applyFill="1" applyBorder="1" applyAlignment="1">
      <alignment horizontal="center"/>
    </xf>
    <xf numFmtId="0" fontId="35" fillId="18" borderId="28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 vertical="center"/>
    </xf>
    <xf numFmtId="164" fontId="35" fillId="18" borderId="22" xfId="0" applyNumberFormat="1" applyFont="1" applyFill="1" applyBorder="1" applyAlignment="1">
      <alignment horizontal="center" vertical="center"/>
    </xf>
    <xf numFmtId="164" fontId="39" fillId="17" borderId="23" xfId="1" applyNumberFormat="1" applyFont="1" applyFill="1" applyBorder="1" applyAlignment="1" applyProtection="1">
      <alignment horizontal="center" vertical="center"/>
    </xf>
    <xf numFmtId="0" fontId="35" fillId="18" borderId="33" xfId="0" applyFont="1" applyFill="1" applyBorder="1" applyAlignment="1">
      <alignment horizontal="center"/>
    </xf>
    <xf numFmtId="0" fontId="35" fillId="18" borderId="31" xfId="0" applyFont="1" applyFill="1" applyBorder="1" applyAlignment="1">
      <alignment horizontal="center"/>
    </xf>
    <xf numFmtId="44" fontId="35" fillId="18" borderId="4" xfId="1" applyFont="1" applyFill="1" applyBorder="1" applyAlignment="1">
      <alignment horizontal="center" vertical="center"/>
    </xf>
    <xf numFmtId="0" fontId="35" fillId="18" borderId="35" xfId="0" applyFont="1" applyFill="1" applyBorder="1" applyAlignment="1">
      <alignment horizontal="center"/>
    </xf>
    <xf numFmtId="0" fontId="35" fillId="18" borderId="34" xfId="0" applyFont="1" applyFill="1" applyBorder="1" applyAlignment="1">
      <alignment horizontal="center"/>
    </xf>
    <xf numFmtId="0" fontId="35" fillId="18" borderId="39" xfId="0" applyFont="1" applyFill="1" applyBorder="1" applyAlignment="1">
      <alignment horizontal="center" vertical="center"/>
    </xf>
    <xf numFmtId="0" fontId="0" fillId="0" borderId="15" xfId="0" applyBorder="1"/>
    <xf numFmtId="9" fontId="0" fillId="0" borderId="0" xfId="0" applyNumberFormat="1"/>
    <xf numFmtId="0" fontId="4" fillId="0" borderId="22" xfId="0" applyFont="1" applyBorder="1"/>
    <xf numFmtId="0" fontId="4" fillId="0" borderId="51" xfId="0" applyFont="1" applyBorder="1"/>
    <xf numFmtId="0" fontId="4" fillId="0" borderId="23" xfId="0" applyFont="1" applyBorder="1"/>
    <xf numFmtId="44" fontId="0" fillId="0" borderId="0" xfId="1" applyFont="1" applyFill="1" applyBorder="1"/>
    <xf numFmtId="165" fontId="0" fillId="0" borderId="0" xfId="1" applyNumberFormat="1" applyFont="1" applyFill="1" applyBorder="1" applyProtection="1">
      <protection locked="0"/>
    </xf>
    <xf numFmtId="0" fontId="35" fillId="18" borderId="56" xfId="0" applyFont="1" applyFill="1" applyBorder="1" applyAlignment="1">
      <alignment horizont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4" fillId="0" borderId="51" xfId="0" applyFont="1" applyBorder="1" applyAlignment="1">
      <alignment horizontal="right" vertical="center"/>
    </xf>
    <xf numFmtId="0" fontId="35" fillId="18" borderId="49" xfId="0" applyFont="1" applyFill="1" applyBorder="1" applyAlignment="1">
      <alignment horizontal="center"/>
    </xf>
    <xf numFmtId="0" fontId="4" fillId="0" borderId="57" xfId="0" applyFont="1" applyBorder="1"/>
    <xf numFmtId="0" fontId="3" fillId="3" borderId="40" xfId="0" applyFont="1" applyFill="1" applyBorder="1"/>
    <xf numFmtId="0" fontId="3" fillId="3" borderId="58" xfId="0" applyFont="1" applyFill="1" applyBorder="1"/>
    <xf numFmtId="0" fontId="0" fillId="6" borderId="50" xfId="0" applyFill="1" applyBorder="1" applyAlignment="1" applyProtection="1">
      <alignment horizontal="left"/>
      <protection locked="0"/>
    </xf>
    <xf numFmtId="164" fontId="0" fillId="6" borderId="53" xfId="0" applyNumberFormat="1" applyFill="1" applyBorder="1" applyAlignment="1" applyProtection="1">
      <alignment horizontal="left"/>
      <protection locked="0"/>
    </xf>
    <xf numFmtId="0" fontId="3" fillId="3" borderId="45" xfId="0" applyFont="1" applyFill="1" applyBorder="1"/>
    <xf numFmtId="0" fontId="3" fillId="19" borderId="3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left"/>
    </xf>
    <xf numFmtId="164" fontId="30" fillId="9" borderId="0" xfId="1" applyNumberFormat="1" applyFont="1" applyFill="1" applyBorder="1" applyAlignment="1">
      <alignment horizontal="center" vertical="center"/>
    </xf>
    <xf numFmtId="164" fontId="32" fillId="4" borderId="30" xfId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3" borderId="3" xfId="0" applyFont="1" applyFill="1" applyBorder="1" applyAlignment="1">
      <alignment horizontal="left" vertical="center"/>
    </xf>
    <xf numFmtId="44" fontId="0" fillId="0" borderId="0" xfId="1" applyFont="1" applyFill="1" applyBorder="1" applyAlignment="1">
      <alignment horizontal="center" vertical="center"/>
    </xf>
    <xf numFmtId="10" fontId="34" fillId="4" borderId="30" xfId="2" applyNumberFormat="1" applyFont="1" applyFill="1" applyBorder="1" applyAlignment="1" applyProtection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10" fontId="0" fillId="6" borderId="7" xfId="0" applyNumberFormat="1" applyFill="1" applyBorder="1" applyAlignment="1" applyProtection="1">
      <alignment horizontal="right" vertical="center"/>
      <protection locked="0"/>
    </xf>
    <xf numFmtId="10" fontId="0" fillId="6" borderId="1" xfId="0" applyNumberFormat="1" applyFill="1" applyBorder="1" applyAlignment="1" applyProtection="1">
      <alignment horizontal="right" vertical="center"/>
      <protection locked="0"/>
    </xf>
    <xf numFmtId="0" fontId="0" fillId="6" borderId="12" xfId="0" applyFill="1" applyBorder="1" applyAlignment="1" applyProtection="1">
      <alignment horizontal="right" vertical="center"/>
      <protection locked="0"/>
    </xf>
    <xf numFmtId="9" fontId="0" fillId="6" borderId="1" xfId="0" applyNumberFormat="1" applyFill="1" applyBorder="1" applyAlignment="1" applyProtection="1">
      <alignment horizontal="right" vertical="center"/>
      <protection locked="0"/>
    </xf>
    <xf numFmtId="0" fontId="0" fillId="6" borderId="7" xfId="0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164" fontId="0" fillId="6" borderId="32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4" fontId="0" fillId="6" borderId="29" xfId="0" applyNumberFormat="1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4" fillId="9" borderId="0" xfId="0" applyFont="1" applyFill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right" vertical="center"/>
      <protection locked="0"/>
    </xf>
    <xf numFmtId="0" fontId="0" fillId="6" borderId="7" xfId="1" applyNumberFormat="1" applyFont="1" applyFill="1" applyBorder="1" applyAlignment="1" applyProtection="1">
      <alignment horizontal="right" vertical="center"/>
      <protection locked="0"/>
    </xf>
    <xf numFmtId="0" fontId="0" fillId="6" borderId="7" xfId="0" applyFill="1" applyBorder="1" applyAlignment="1" applyProtection="1">
      <alignment horizontal="right" vertical="center"/>
      <protection locked="0"/>
    </xf>
    <xf numFmtId="164" fontId="0" fillId="6" borderId="7" xfId="0" applyNumberFormat="1" applyFill="1" applyBorder="1" applyAlignment="1" applyProtection="1">
      <alignment horizontal="right" vertical="center"/>
      <protection locked="0"/>
    </xf>
    <xf numFmtId="10" fontId="0" fillId="6" borderId="8" xfId="2" applyNumberFormat="1" applyFont="1" applyFill="1" applyBorder="1" applyAlignment="1" applyProtection="1">
      <alignment horizontal="right" vertical="center"/>
      <protection locked="0"/>
    </xf>
    <xf numFmtId="164" fontId="0" fillId="6" borderId="1" xfId="1" applyNumberFormat="1" applyFont="1" applyFill="1" applyBorder="1" applyAlignment="1" applyProtection="1">
      <alignment vertical="center"/>
      <protection locked="0"/>
    </xf>
    <xf numFmtId="0" fontId="0" fillId="6" borderId="1" xfId="1" applyNumberFormat="1" applyFont="1" applyFill="1" applyBorder="1" applyAlignment="1" applyProtection="1">
      <alignment vertical="center"/>
      <protection locked="0"/>
    </xf>
    <xf numFmtId="164" fontId="0" fillId="6" borderId="1" xfId="0" applyNumberFormat="1" applyFill="1" applyBorder="1" applyAlignment="1" applyProtection="1">
      <alignment vertical="center"/>
      <protection locked="0"/>
    </xf>
    <xf numFmtId="164" fontId="0" fillId="6" borderId="1" xfId="2" applyNumberFormat="1" applyFont="1" applyFill="1" applyBorder="1" applyAlignment="1" applyProtection="1">
      <alignment vertical="center"/>
      <protection locked="0"/>
    </xf>
    <xf numFmtId="10" fontId="0" fillId="6" borderId="10" xfId="2" applyNumberFormat="1" applyFont="1" applyFill="1" applyBorder="1" applyAlignment="1" applyProtection="1">
      <alignment horizontal="right" vertical="center"/>
      <protection locked="0"/>
    </xf>
    <xf numFmtId="164" fontId="0" fillId="6" borderId="12" xfId="1" applyNumberFormat="1" applyFont="1" applyFill="1" applyBorder="1" applyAlignment="1" applyProtection="1">
      <alignment vertical="center"/>
      <protection locked="0"/>
    </xf>
    <xf numFmtId="0" fontId="0" fillId="6" borderId="12" xfId="1" applyNumberFormat="1" applyFont="1" applyFill="1" applyBorder="1" applyAlignment="1" applyProtection="1">
      <alignment vertical="center"/>
      <protection locked="0"/>
    </xf>
    <xf numFmtId="0" fontId="0" fillId="6" borderId="12" xfId="0" applyFill="1" applyBorder="1" applyAlignment="1" applyProtection="1">
      <alignment vertical="center"/>
      <protection locked="0"/>
    </xf>
    <xf numFmtId="164" fontId="0" fillId="6" borderId="12" xfId="0" applyNumberFormat="1" applyFill="1" applyBorder="1" applyAlignment="1" applyProtection="1">
      <alignment vertical="center"/>
      <protection locked="0"/>
    </xf>
    <xf numFmtId="10" fontId="0" fillId="6" borderId="13" xfId="2" applyNumberFormat="1" applyFont="1" applyFill="1" applyBorder="1" applyAlignment="1" applyProtection="1">
      <alignment horizontal="right" vertical="center"/>
      <protection locked="0"/>
    </xf>
    <xf numFmtId="164" fontId="0" fillId="6" borderId="1" xfId="1" applyNumberFormat="1" applyFont="1" applyFill="1" applyBorder="1" applyAlignment="1" applyProtection="1">
      <alignment horizontal="right" vertical="center"/>
      <protection locked="0"/>
    </xf>
    <xf numFmtId="0" fontId="0" fillId="6" borderId="1" xfId="1" applyNumberFormat="1" applyFont="1" applyFill="1" applyBorder="1" applyAlignment="1" applyProtection="1">
      <alignment horizontal="right" vertical="center"/>
      <protection locked="0"/>
    </xf>
    <xf numFmtId="0" fontId="0" fillId="6" borderId="1" xfId="0" applyFill="1" applyBorder="1" applyAlignment="1" applyProtection="1">
      <alignment horizontal="right" vertical="center"/>
      <protection locked="0"/>
    </xf>
    <xf numFmtId="164" fontId="0" fillId="6" borderId="1" xfId="0" applyNumberFormat="1" applyFill="1" applyBorder="1" applyAlignment="1" applyProtection="1">
      <alignment horizontal="right" vertical="center"/>
      <protection locked="0"/>
    </xf>
    <xf numFmtId="0" fontId="35" fillId="18" borderId="49" xfId="0" applyFont="1" applyFill="1" applyBorder="1" applyAlignment="1">
      <alignment horizontal="center" vertical="center"/>
    </xf>
    <xf numFmtId="164" fontId="0" fillId="6" borderId="7" xfId="0" applyNumberFormat="1" applyFill="1" applyBorder="1" applyAlignment="1" applyProtection="1">
      <alignment vertical="center"/>
      <protection locked="0"/>
    </xf>
    <xf numFmtId="164" fontId="0" fillId="6" borderId="7" xfId="1" applyNumberFormat="1" applyFont="1" applyFill="1" applyBorder="1" applyAlignment="1" applyProtection="1">
      <alignment vertical="center"/>
      <protection locked="0"/>
    </xf>
    <xf numFmtId="164" fontId="0" fillId="6" borderId="7" xfId="0" applyNumberFormat="1" applyFill="1" applyBorder="1" applyAlignment="1" applyProtection="1">
      <alignment vertical="center" wrapText="1"/>
      <protection locked="0"/>
    </xf>
    <xf numFmtId="10" fontId="0" fillId="6" borderId="8" xfId="2" applyNumberFormat="1" applyFont="1" applyFill="1" applyBorder="1" applyAlignment="1" applyProtection="1">
      <alignment vertical="center" wrapText="1"/>
      <protection locked="0"/>
    </xf>
    <xf numFmtId="164" fontId="0" fillId="6" borderId="12" xfId="0" applyNumberFormat="1" applyFill="1" applyBorder="1" applyAlignment="1" applyProtection="1">
      <alignment vertical="center" wrapText="1"/>
      <protection locked="0"/>
    </xf>
    <xf numFmtId="10" fontId="0" fillId="6" borderId="13" xfId="2" applyNumberFormat="1" applyFont="1" applyFill="1" applyBorder="1" applyAlignment="1" applyProtection="1">
      <alignment vertical="center" wrapText="1"/>
      <protection locked="0"/>
    </xf>
    <xf numFmtId="44" fontId="0" fillId="0" borderId="0" xfId="1" applyFont="1" applyBorder="1" applyAlignment="1">
      <alignment vertical="center"/>
    </xf>
    <xf numFmtId="44" fontId="35" fillId="18" borderId="29" xfId="1" applyFont="1" applyFill="1" applyBorder="1" applyAlignment="1">
      <alignment horizontal="center" vertical="center"/>
    </xf>
    <xf numFmtId="44" fontId="35" fillId="18" borderId="28" xfId="1" applyFont="1" applyFill="1" applyBorder="1" applyAlignment="1">
      <alignment horizontal="center" vertical="center"/>
    </xf>
    <xf numFmtId="44" fontId="35" fillId="18" borderId="30" xfId="1" applyFont="1" applyFill="1" applyBorder="1" applyAlignment="1">
      <alignment horizontal="center" vertical="center"/>
    </xf>
    <xf numFmtId="164" fontId="34" fillId="0" borderId="0" xfId="1" applyNumberFormat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vertical="center"/>
    </xf>
    <xf numFmtId="0" fontId="0" fillId="6" borderId="29" xfId="0" applyFill="1" applyBorder="1" applyAlignment="1">
      <alignment horizontal="right" vertical="center"/>
    </xf>
    <xf numFmtId="0" fontId="0" fillId="6" borderId="32" xfId="0" applyFill="1" applyBorder="1" applyAlignment="1" applyProtection="1">
      <alignment horizontal="center" vertical="center"/>
      <protection locked="0"/>
    </xf>
    <xf numFmtId="0" fontId="0" fillId="6" borderId="7" xfId="1" applyNumberFormat="1" applyFont="1" applyFill="1" applyBorder="1" applyAlignment="1" applyProtection="1">
      <alignment horizontal="center" vertical="center"/>
      <protection locked="0"/>
    </xf>
    <xf numFmtId="0" fontId="0" fillId="6" borderId="1" xfId="1" applyNumberFormat="1" applyFont="1" applyFill="1" applyBorder="1" applyAlignment="1" applyProtection="1">
      <alignment horizontal="center" vertical="center"/>
      <protection locked="0"/>
    </xf>
    <xf numFmtId="0" fontId="0" fillId="6" borderId="12" xfId="1" applyNumberFormat="1" applyFont="1" applyFill="1" applyBorder="1" applyAlignment="1" applyProtection="1">
      <alignment horizontal="center" vertical="center"/>
      <protection locked="0"/>
    </xf>
    <xf numFmtId="0" fontId="0" fillId="6" borderId="32" xfId="1" applyNumberFormat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Alignment="1" applyProtection="1">
      <alignment horizontal="center" vertical="center"/>
      <protection locked="0"/>
    </xf>
    <xf numFmtId="167" fontId="0" fillId="6" borderId="7" xfId="0" applyNumberFormat="1" applyFill="1" applyBorder="1" applyAlignment="1" applyProtection="1">
      <alignment horizontal="right" vertical="center"/>
      <protection locked="0"/>
    </xf>
    <xf numFmtId="9" fontId="0" fillId="6" borderId="32" xfId="0" applyNumberFormat="1" applyFill="1" applyBorder="1" applyAlignment="1" applyProtection="1">
      <alignment horizontal="right" vertical="center"/>
      <protection locked="0"/>
    </xf>
    <xf numFmtId="164" fontId="34" fillId="4" borderId="3" xfId="1" applyNumberFormat="1" applyFont="1" applyFill="1" applyBorder="1" applyAlignment="1">
      <alignment horizontal="center" vertical="center"/>
    </xf>
    <xf numFmtId="10" fontId="0" fillId="6" borderId="32" xfId="0" applyNumberFormat="1" applyFill="1" applyBorder="1" applyAlignment="1" applyProtection="1">
      <alignment horizontal="right" vertical="center"/>
      <protection locked="0"/>
    </xf>
    <xf numFmtId="164" fontId="34" fillId="4" borderId="64" xfId="1" applyNumberFormat="1" applyFont="1" applyFill="1" applyBorder="1" applyAlignment="1">
      <alignment horizontal="center" vertical="center"/>
    </xf>
    <xf numFmtId="164" fontId="34" fillId="4" borderId="62" xfId="0" applyNumberFormat="1" applyFont="1" applyFill="1" applyBorder="1" applyAlignment="1">
      <alignment horizontal="center" vertical="center"/>
    </xf>
    <xf numFmtId="164" fontId="34" fillId="4" borderId="6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6" borderId="4" xfId="0" applyFill="1" applyBorder="1" applyAlignment="1" applyProtection="1">
      <alignment horizontal="center" vertical="center"/>
      <protection locked="0"/>
    </xf>
    <xf numFmtId="164" fontId="0" fillId="6" borderId="4" xfId="1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vertical="center"/>
      <protection locked="0"/>
    </xf>
    <xf numFmtId="0" fontId="0" fillId="6" borderId="4" xfId="1" applyNumberFormat="1" applyFont="1" applyFill="1" applyBorder="1" applyAlignment="1" applyProtection="1">
      <alignment horizontal="center" vertical="center"/>
      <protection locked="0"/>
    </xf>
    <xf numFmtId="9" fontId="45" fillId="4" borderId="62" xfId="2" applyFont="1" applyFill="1" applyBorder="1" applyAlignment="1">
      <alignment horizontal="center" vertical="center"/>
    </xf>
    <xf numFmtId="9" fontId="45" fillId="4" borderId="30" xfId="2" applyFont="1" applyFill="1" applyBorder="1" applyAlignment="1">
      <alignment horizontal="center" vertical="center"/>
    </xf>
    <xf numFmtId="9" fontId="45" fillId="4" borderId="64" xfId="2" applyFont="1" applyFill="1" applyBorder="1" applyAlignment="1">
      <alignment horizontal="center" vertical="center"/>
    </xf>
    <xf numFmtId="164" fontId="45" fillId="4" borderId="62" xfId="1" applyNumberFormat="1" applyFont="1" applyFill="1" applyBorder="1" applyAlignment="1">
      <alignment horizontal="center" vertical="center"/>
    </xf>
    <xf numFmtId="164" fontId="45" fillId="4" borderId="5" xfId="1" applyNumberFormat="1" applyFont="1" applyFill="1" applyBorder="1" applyAlignment="1">
      <alignment horizontal="center" vertical="center"/>
    </xf>
    <xf numFmtId="0" fontId="45" fillId="4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8" borderId="0" xfId="0" applyFont="1" applyFill="1" applyAlignment="1">
      <alignment horizontal="center" vertical="center"/>
    </xf>
    <xf numFmtId="14" fontId="41" fillId="4" borderId="0" xfId="0" applyNumberFormat="1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14" fontId="43" fillId="6" borderId="27" xfId="7" applyNumberFormat="1" applyFill="1" applyBorder="1" applyAlignment="1" applyProtection="1">
      <alignment horizontal="left" vertical="center" wrapText="1"/>
      <protection locked="0"/>
    </xf>
    <xf numFmtId="0" fontId="0" fillId="6" borderId="29" xfId="0" applyFill="1" applyBorder="1" applyAlignment="1" applyProtection="1">
      <alignment horizontal="left" vertical="center"/>
      <protection locked="0"/>
    </xf>
    <xf numFmtId="0" fontId="0" fillId="6" borderId="28" xfId="0" applyFill="1" applyBorder="1" applyAlignment="1" applyProtection="1">
      <alignment horizontal="left" vertical="center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8" borderId="14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vertical="center"/>
    </xf>
    <xf numFmtId="0" fontId="37" fillId="18" borderId="19" xfId="0" applyFont="1" applyFill="1" applyBorder="1" applyAlignment="1">
      <alignment horizontal="center" vertical="center"/>
    </xf>
    <xf numFmtId="0" fontId="37" fillId="18" borderId="20" xfId="0" applyFont="1" applyFill="1" applyBorder="1" applyAlignment="1">
      <alignment horizontal="center" vertical="center"/>
    </xf>
    <xf numFmtId="0" fontId="37" fillId="18" borderId="21" xfId="0" applyFont="1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10" xfId="0" applyFill="1" applyBorder="1" applyAlignment="1" applyProtection="1">
      <alignment horizontal="left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6" xfId="0" applyFill="1" applyBorder="1" applyAlignment="1" applyProtection="1">
      <alignment horizontal="left"/>
      <protection locked="0"/>
    </xf>
    <xf numFmtId="0" fontId="0" fillId="6" borderId="8" xfId="0" applyFill="1" applyBorder="1" applyAlignment="1" applyProtection="1">
      <alignment horizontal="left"/>
      <protection locked="0"/>
    </xf>
    <xf numFmtId="14" fontId="0" fillId="6" borderId="9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32" xfId="0" applyFill="1" applyBorder="1" applyAlignment="1" applyProtection="1">
      <alignment horizontal="left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35" fillId="18" borderId="14" xfId="0" applyFont="1" applyFill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9" fontId="3" fillId="4" borderId="0" xfId="2" applyFont="1" applyFill="1" applyBorder="1" applyAlignment="1">
      <alignment horizontal="center" vertical="center"/>
    </xf>
    <xf numFmtId="9" fontId="3" fillId="4" borderId="61" xfId="2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6" borderId="2" xfId="1" applyNumberFormat="1" applyFont="1" applyFill="1" applyBorder="1" applyAlignment="1" applyProtection="1">
      <alignment horizontal="center" vertical="center"/>
      <protection locked="0"/>
    </xf>
    <xf numFmtId="0" fontId="0" fillId="6" borderId="54" xfId="1" applyNumberFormat="1" applyFont="1" applyFill="1" applyBorder="1" applyAlignment="1" applyProtection="1">
      <alignment horizontal="center" vertical="center"/>
      <protection locked="0"/>
    </xf>
    <xf numFmtId="164" fontId="34" fillId="4" borderId="65" xfId="1" applyNumberFormat="1" applyFont="1" applyFill="1" applyBorder="1" applyAlignment="1">
      <alignment horizontal="center" vertical="center"/>
    </xf>
    <xf numFmtId="164" fontId="34" fillId="4" borderId="62" xfId="1" applyNumberFormat="1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6" borderId="7" xfId="1" applyNumberFormat="1" applyFont="1" applyFill="1" applyBorder="1" applyAlignment="1" applyProtection="1">
      <alignment horizontal="center" vertical="center"/>
      <protection locked="0"/>
    </xf>
    <xf numFmtId="0" fontId="0" fillId="6" borderId="8" xfId="1" applyNumberFormat="1" applyFont="1" applyFill="1" applyBorder="1" applyAlignment="1" applyProtection="1">
      <alignment horizontal="center" vertical="center"/>
      <protection locked="0"/>
    </xf>
    <xf numFmtId="0" fontId="0" fillId="6" borderId="12" xfId="1" applyNumberFormat="1" applyFont="1" applyFill="1" applyBorder="1" applyAlignment="1" applyProtection="1">
      <alignment horizontal="center" vertical="center"/>
      <protection locked="0"/>
    </xf>
    <xf numFmtId="0" fontId="0" fillId="6" borderId="13" xfId="1" applyNumberFormat="1" applyFont="1" applyFill="1" applyBorder="1" applyAlignment="1" applyProtection="1">
      <alignment horizontal="center" vertical="center"/>
      <protection locked="0"/>
    </xf>
    <xf numFmtId="0" fontId="0" fillId="6" borderId="1" xfId="1" applyNumberFormat="1" applyFont="1" applyFill="1" applyBorder="1" applyAlignment="1" applyProtection="1">
      <alignment horizontal="center" vertical="center"/>
      <protection locked="0"/>
    </xf>
    <xf numFmtId="0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34" fillId="4" borderId="63" xfId="1" applyNumberFormat="1" applyFont="1" applyFill="1" applyBorder="1" applyAlignment="1">
      <alignment horizontal="center" vertical="center"/>
    </xf>
    <xf numFmtId="164" fontId="34" fillId="4" borderId="66" xfId="1" applyNumberFormat="1" applyFont="1" applyFill="1" applyBorder="1" applyAlignment="1">
      <alignment horizontal="center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19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/>
    </xf>
    <xf numFmtId="0" fontId="36" fillId="18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0" fillId="6" borderId="7" xfId="1" applyNumberFormat="1" applyFont="1" applyFill="1" applyBorder="1" applyAlignment="1" applyProtection="1">
      <alignment horizontal="center" vertical="center" wrapText="1"/>
      <protection locked="0"/>
    </xf>
    <xf numFmtId="165" fontId="0" fillId="6" borderId="8" xfId="1" applyNumberFormat="1" applyFont="1" applyFill="1" applyBorder="1" applyAlignment="1" applyProtection="1">
      <alignment horizontal="center" vertical="center" wrapText="1"/>
      <protection locked="0"/>
    </xf>
    <xf numFmtId="0" fontId="35" fillId="18" borderId="29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0" fontId="0" fillId="6" borderId="60" xfId="0" applyFill="1" applyBorder="1" applyAlignment="1" applyProtection="1">
      <alignment horizontal="center" vertical="center" wrapText="1"/>
      <protection locked="0"/>
    </xf>
    <xf numFmtId="0" fontId="0" fillId="6" borderId="51" xfId="0" applyFill="1" applyBorder="1" applyAlignment="1" applyProtection="1">
      <alignment horizontal="center" vertical="center" wrapText="1"/>
      <protection locked="0"/>
    </xf>
    <xf numFmtId="0" fontId="0" fillId="6" borderId="52" xfId="0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165" fontId="0" fillId="6" borderId="12" xfId="1" applyNumberFormat="1" applyFont="1" applyFill="1" applyBorder="1" applyAlignment="1" applyProtection="1">
      <alignment horizontal="center" vertical="center" wrapText="1"/>
      <protection locked="0"/>
    </xf>
    <xf numFmtId="165" fontId="0" fillId="6" borderId="13" xfId="1" applyNumberFormat="1" applyFont="1" applyFill="1" applyBorder="1" applyAlignment="1" applyProtection="1">
      <alignment horizontal="center" vertical="center" wrapText="1"/>
      <protection locked="0"/>
    </xf>
    <xf numFmtId="164" fontId="0" fillId="6" borderId="1" xfId="0" applyNumberFormat="1" applyFill="1" applyBorder="1" applyAlignment="1" applyProtection="1">
      <alignment horizontal="center" vertical="center" wrapText="1"/>
      <protection locked="0"/>
    </xf>
    <xf numFmtId="164" fontId="0" fillId="6" borderId="10" xfId="0" applyNumberFormat="1" applyFill="1" applyBorder="1" applyAlignment="1" applyProtection="1">
      <alignment horizontal="center" vertical="center" wrapText="1"/>
      <protection locked="0"/>
    </xf>
    <xf numFmtId="0" fontId="0" fillId="6" borderId="50" xfId="0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 wrapText="1"/>
      <protection locked="0"/>
    </xf>
    <xf numFmtId="0" fontId="3" fillId="9" borderId="0" xfId="0" applyFont="1" applyFill="1" applyAlignment="1">
      <alignment horizontal="center" vertical="center"/>
    </xf>
    <xf numFmtId="164" fontId="34" fillId="9" borderId="0" xfId="1" applyNumberFormat="1" applyFont="1" applyFill="1" applyBorder="1" applyAlignment="1" applyProtection="1">
      <alignment horizontal="center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5" fillId="18" borderId="4" xfId="0" applyFont="1" applyFill="1" applyBorder="1" applyAlignment="1">
      <alignment horizontal="center" vertical="center"/>
    </xf>
    <xf numFmtId="0" fontId="0" fillId="6" borderId="50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6" fillId="9" borderId="0" xfId="0" applyFont="1" applyFill="1" applyAlignment="1">
      <alignment horizontal="left"/>
    </xf>
    <xf numFmtId="0" fontId="3" fillId="9" borderId="15" xfId="0" applyFont="1" applyFill="1" applyBorder="1" applyAlignment="1">
      <alignment horizontal="center"/>
    </xf>
    <xf numFmtId="0" fontId="3" fillId="4" borderId="6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/>
    </xf>
    <xf numFmtId="0" fontId="35" fillId="18" borderId="52" xfId="0" applyFont="1" applyFill="1" applyBorder="1" applyAlignment="1">
      <alignment horizontal="center" vertical="center"/>
    </xf>
    <xf numFmtId="0" fontId="35" fillId="18" borderId="48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9" fillId="17" borderId="50" xfId="0" applyFont="1" applyFill="1" applyBorder="1" applyAlignment="1">
      <alignment horizontal="center" vertical="center"/>
    </xf>
    <xf numFmtId="0" fontId="39" fillId="17" borderId="55" xfId="0" applyFont="1" applyFill="1" applyBorder="1" applyAlignment="1">
      <alignment horizontal="center" vertical="center"/>
    </xf>
    <xf numFmtId="0" fontId="39" fillId="17" borderId="5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6" borderId="3" xfId="1" applyNumberFormat="1" applyFont="1" applyFill="1" applyBorder="1" applyAlignment="1" applyProtection="1">
      <alignment horizontal="center"/>
      <protection locked="0"/>
    </xf>
    <xf numFmtId="164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59" xfId="0" applyFill="1" applyBorder="1" applyAlignment="1" applyProtection="1">
      <alignment horizontal="center" vertical="center" wrapText="1"/>
      <protection locked="0"/>
    </xf>
    <xf numFmtId="0" fontId="0" fillId="6" borderId="54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/>
    </xf>
    <xf numFmtId="0" fontId="35" fillId="18" borderId="5" xfId="0" applyFont="1" applyFill="1" applyBorder="1" applyAlignment="1">
      <alignment horizontal="center"/>
    </xf>
    <xf numFmtId="0" fontId="38" fillId="18" borderId="29" xfId="0" applyFont="1" applyFill="1" applyBorder="1" applyAlignment="1">
      <alignment horizontal="center" vertical="center"/>
    </xf>
    <xf numFmtId="0" fontId="38" fillId="18" borderId="28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 wrapText="1"/>
    </xf>
    <xf numFmtId="0" fontId="13" fillId="18" borderId="17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3" fillId="18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2" borderId="14" xfId="3" applyFont="1" applyFill="1" applyBorder="1" applyAlignment="1" applyProtection="1">
      <alignment horizontal="center"/>
      <protection hidden="1"/>
    </xf>
    <xf numFmtId="0" fontId="16" fillId="12" borderId="15" xfId="3" applyFont="1" applyFill="1" applyBorder="1" applyAlignment="1" applyProtection="1">
      <alignment horizontal="center"/>
      <protection hidden="1"/>
    </xf>
    <xf numFmtId="0" fontId="16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2" borderId="33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39" xfId="3" applyFont="1" applyBorder="1" applyAlignment="1" applyProtection="1">
      <alignment horizontal="center"/>
      <protection hidden="1"/>
    </xf>
    <xf numFmtId="0" fontId="11" fillId="0" borderId="41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7" fillId="10" borderId="14" xfId="5" applyFont="1" applyFill="1" applyBorder="1" applyAlignment="1" applyProtection="1">
      <alignment horizontal="center"/>
      <protection hidden="1"/>
    </xf>
    <xf numFmtId="0" fontId="17" fillId="10" borderId="15" xfId="5" applyFont="1" applyFill="1" applyBorder="1" applyAlignment="1" applyProtection="1">
      <alignment horizontal="center"/>
      <protection hidden="1"/>
    </xf>
    <xf numFmtId="0" fontId="17" fillId="10" borderId="16" xfId="5" applyFont="1" applyFill="1" applyBorder="1" applyAlignment="1" applyProtection="1">
      <alignment horizontal="center"/>
      <protection hidden="1"/>
    </xf>
    <xf numFmtId="0" fontId="19" fillId="10" borderId="17" xfId="6" applyFont="1" applyFill="1" applyBorder="1" applyAlignment="1" applyProtection="1">
      <alignment horizontal="center" vertical="center"/>
      <protection hidden="1"/>
    </xf>
    <xf numFmtId="0" fontId="20" fillId="10" borderId="0" xfId="5" applyFont="1" applyFill="1" applyAlignment="1" applyProtection="1">
      <alignment horizontal="center" vertical="center"/>
      <protection hidden="1"/>
    </xf>
    <xf numFmtId="0" fontId="20" fillId="10" borderId="17" xfId="5" applyFont="1" applyFill="1" applyBorder="1" applyAlignment="1" applyProtection="1">
      <alignment horizontal="center" vertical="center"/>
      <protection hidden="1"/>
    </xf>
    <xf numFmtId="0" fontId="21" fillId="11" borderId="0" xfId="5" applyFont="1" applyFill="1" applyAlignment="1" applyProtection="1">
      <alignment horizontal="center" vertical="center"/>
      <protection hidden="1"/>
    </xf>
    <xf numFmtId="0" fontId="21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6" fillId="10" borderId="0" xfId="5" applyFont="1" applyFill="1" applyAlignment="1" applyProtection="1">
      <alignment horizontal="center" vertical="center"/>
      <protection hidden="1"/>
    </xf>
    <xf numFmtId="0" fontId="26" fillId="10" borderId="18" xfId="5" applyFont="1" applyFill="1" applyBorder="1" applyAlignment="1" applyProtection="1">
      <alignment horizontal="center" vertical="center"/>
      <protection hidden="1"/>
    </xf>
    <xf numFmtId="0" fontId="28" fillId="10" borderId="17" xfId="5" applyFont="1" applyFill="1" applyBorder="1" applyAlignment="1" applyProtection="1">
      <alignment horizontal="center"/>
      <protection hidden="1"/>
    </xf>
    <xf numFmtId="0" fontId="28" fillId="10" borderId="0" xfId="5" applyFont="1" applyFill="1" applyAlignment="1" applyProtection="1">
      <alignment horizontal="center"/>
      <protection hidden="1"/>
    </xf>
    <xf numFmtId="0" fontId="28" fillId="10" borderId="18" xfId="5" applyFont="1" applyFill="1" applyBorder="1" applyAlignment="1" applyProtection="1">
      <alignment horizontal="center"/>
      <protection hidden="1"/>
    </xf>
  </cellXfs>
  <cellStyles count="8">
    <cellStyle name="Lien hypertexte" xfId="7" builtinId="8"/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213444"/>
      <color rgb="FFDFC341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10871</xdr:colOff>
      <xdr:row>30</xdr:row>
      <xdr:rowOff>163268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0659" y="995082"/>
          <a:ext cx="10963836" cy="5298140"/>
        </a:xfrm>
        <a:prstGeom prst="rect">
          <a:avLst/>
        </a:prstGeom>
      </xdr:spPr>
    </xdr:pic>
    <xdr:clientData/>
  </xdr:twoCellAnchor>
  <xdr:twoCellAnchor>
    <xdr:from>
      <xdr:col>5</xdr:col>
      <xdr:colOff>748554</xdr:colOff>
      <xdr:row>5</xdr:row>
      <xdr:rowOff>188259</xdr:rowOff>
    </xdr:from>
    <xdr:to>
      <xdr:col>9</xdr:col>
      <xdr:colOff>103094</xdr:colOff>
      <xdr:row>18</xdr:row>
      <xdr:rowOff>134471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59942" y="1174377"/>
          <a:ext cx="2725270" cy="272527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1566" y="4052047"/>
          <a:ext cx="8122022" cy="1837764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3600">
              <a:solidFill>
                <a:srgbClr val="002060"/>
              </a:solidFill>
            </a:rPr>
            <a:t>Bauvineau</a:t>
          </a:r>
          <a:r>
            <a:rPr lang="fr-FR" sz="3600" baseline="0">
              <a:solidFill>
                <a:srgbClr val="002060"/>
              </a:solidFill>
            </a:rPr>
            <a:t> Laurent</a:t>
          </a:r>
          <a:endParaRPr lang="fr-FR" sz="36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188259</xdr:colOff>
      <xdr:row>6</xdr:row>
      <xdr:rowOff>233082</xdr:rowOff>
    </xdr:from>
    <xdr:to>
      <xdr:col>8</xdr:col>
      <xdr:colOff>658323</xdr:colOff>
      <xdr:row>17</xdr:row>
      <xdr:rowOff>53921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330" y="1416423"/>
          <a:ext cx="2153523" cy="22092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647700</xdr:colOff>
      <xdr:row>2</xdr:row>
      <xdr:rowOff>275008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F7686A4-7BFD-4E5E-9652-C61874C1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94" y="252632"/>
          <a:ext cx="442546" cy="464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478545</xdr:colOff>
      <xdr:row>2</xdr:row>
      <xdr:rowOff>206209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517848</xdr:colOff>
      <xdr:row>2</xdr:row>
      <xdr:rowOff>207196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36</xdr:row>
      <xdr:rowOff>46382</xdr:rowOff>
    </xdr:from>
    <xdr:to>
      <xdr:col>1</xdr:col>
      <xdr:colOff>553876</xdr:colOff>
      <xdr:row>37</xdr:row>
      <xdr:rowOff>207195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210012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tienne ARNAUD" id="{EA4E7C0F-8973-4ED5-B392-F3507552F9E1}" userId="S::earnaud@tailored-finance.fr::26dbd6e4-4795-45a0-b588-4ccd82dd3f3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2-12-15T10:45:24.20" personId="{EA4E7C0F-8973-4ED5-B392-F3507552F9E1}" id="{0DA5FFEE-24D5-4E6E-AEB2-1FCB1A3BA129}">
    <text>Plafond de 5959€ par personne pensionnée</text>
  </threadedComment>
  <threadedComment ref="G33" dT="2022-12-15T10:49:08.21" personId="{EA4E7C0F-8973-4ED5-B392-F3507552F9E1}" id="{C77B03D7-DD8E-46F7-A84B-2C23186E598D}">
    <text>Plafond de 10.000€ des niches fiscales commun avec les crédits d'impôt
Dons aux œuvres : Entre 66 et 75% des dépenses en fonction des organismes - Plafonné à 20% des revenus</text>
  </threadedComment>
  <threadedComment ref="G34" dT="2022-12-15T10:56:28.12" personId="{EA4E7C0F-8973-4ED5-B392-F3507552F9E1}" id="{8A40CE59-C7F2-4ECB-BA93-EC5F94674062}">
    <text>Plafond de 10.000€ des niches fiscales commun avec les réductions
Employés à domicile : 50% des dépenses plafonnées à 12.000€ (15.000€ pour la première année d'emploi) (soit 6000€ de CI ou 7500€ pour la première année d'emploi) + Majoration de 1.500€ par enfant ou personne de +65 ans à charge (dans la limite de deux majorations) (Soit 750€ de CI supplémentaire dans la limite de 2). Plafond total résumé : 7500€ de Crédit (9000€ la première année) AVEC LES MAJORATIONS 
Frais de garde extérieur : 50% des dépenses plafonnées à 2300€ par enfant (soit 1150€ de crédit d'impôt maxi)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8" dT="2022-12-15T11:03:10.41" personId="{EA4E7C0F-8973-4ED5-B392-F3507552F9E1}" id="{94D4351B-C691-4822-A824-E59C138FD2E5}">
    <text>ATTENTION - Mensualité assurance comprise</text>
  </threadedComment>
  <threadedComment ref="H13" dT="2022-12-15T11:03:23.14" personId="{EA4E7C0F-8973-4ED5-B392-F3507552F9E1}" id="{443C3DE1-196B-481D-95F0-46FF326E5F4A}">
    <text>ATTENTION - Mensualité assurance comprise</text>
  </threadedComment>
  <threadedComment ref="I13" dT="2022-12-15T11:03:53.47" personId="{EA4E7C0F-8973-4ED5-B392-F3507552F9E1}" id="{48BF648E-3C66-4799-8A9D-1D7FA1B72F48}">
    <text>Indiquez le loyer HORS CHARGE</text>
  </threadedComment>
  <threadedComment ref="H14" dT="2022-12-15T11:03:28.32" personId="{EA4E7C0F-8973-4ED5-B392-F3507552F9E1}" id="{814A89F7-63D6-467D-A8B1-73D841DC5CB5}">
    <text>ATTENTION - Mensualité assurance comprise</text>
  </threadedComment>
  <threadedComment ref="I14" dT="2022-12-15T11:03:55.89" personId="{EA4E7C0F-8973-4ED5-B392-F3507552F9E1}" id="{CB178046-EA58-4FF9-9303-F9BF8E9C91B7}">
    <text xml:space="preserve">Indiquez le loyer HORS CHARGE
</text>
  </threadedComment>
  <threadedComment ref="H15" dT="2022-12-15T11:03:31.03" personId="{EA4E7C0F-8973-4ED5-B392-F3507552F9E1}" id="{819C6BD4-72C6-4C86-A432-831BAAAED677}">
    <text>ATTENTION - Mensualité assurance comprise</text>
  </threadedComment>
  <threadedComment ref="I15" dT="2022-12-15T11:03:59.37" personId="{EA4E7C0F-8973-4ED5-B392-F3507552F9E1}" id="{498510B1-0CEE-41DB-A6B7-9AF8F6D71DEC}">
    <text xml:space="preserve">Indiquez le loyer HORS CHARGE
</text>
  </threadedComment>
  <threadedComment ref="H16" dT="2022-12-15T11:03:34.35" personId="{EA4E7C0F-8973-4ED5-B392-F3507552F9E1}" id="{A337F14E-4CE7-4EC5-814E-56341E0D11F2}">
    <text>ATTENTION - Mensualité assurance comprise</text>
  </threadedComment>
  <threadedComment ref="I16" dT="2022-12-15T11:04:02.41" personId="{EA4E7C0F-8973-4ED5-B392-F3507552F9E1}" id="{ECF5F3FC-E91B-49A9-86C3-74B6FC103792}">
    <text xml:space="preserve">Indiquez le loyer HORS CHARGE
</text>
  </threadedComment>
  <threadedComment ref="B41" dT="2022-12-15T11:02:10.77" personId="{EA4E7C0F-8973-4ED5-B392-F3507552F9E1}" id="{E9D243D8-ADB8-423F-AAD9-285272419F84}">
    <text>Livrets, Comptes courants, CEL...</text>
  </threadedComment>
  <threadedComment ref="B49" dT="2022-12-15T11:02:37.69" personId="{EA4E7C0F-8973-4ED5-B392-F3507552F9E1}" id="{511323BF-172A-4F57-8BE4-417119F0FA98}">
    <text>PPE, PERCO, PERIN, Assurance-vie, PEL</text>
  </threadedComment>
  <threadedComment ref="B56" dT="2022-12-15T11:02:48.15" personId="{EA4E7C0F-8973-4ED5-B392-F3507552F9E1}" id="{FB47D159-C280-4AE9-A356-A71610C023B1}">
    <text>Crypto, Actions en propre etc...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orrigetonimpot.fr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</row>
    <row r="2" spans="1:15" x14ac:dyDescent="0.3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</row>
    <row r="3" spans="1:15" x14ac:dyDescent="0.3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</row>
    <row r="4" spans="1:15" x14ac:dyDescent="0.3">
      <c r="A4" s="332"/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</row>
    <row r="5" spans="1:15" x14ac:dyDescent="0.3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</row>
    <row r="6" spans="1:15" x14ac:dyDescent="0.3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</row>
    <row r="7" spans="1:15" x14ac:dyDescent="0.3">
      <c r="A7" s="332"/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</row>
    <row r="8" spans="1:15" x14ac:dyDescent="0.3">
      <c r="A8" s="332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</row>
    <row r="9" spans="1:15" x14ac:dyDescent="0.3">
      <c r="A9" s="332"/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</row>
    <row r="10" spans="1:15" x14ac:dyDescent="0.3">
      <c r="A10" s="332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</row>
    <row r="11" spans="1:15" x14ac:dyDescent="0.3">
      <c r="A11" s="332"/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</row>
    <row r="12" spans="1:15" x14ac:dyDescent="0.3">
      <c r="A12" s="332"/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</row>
    <row r="13" spans="1:15" x14ac:dyDescent="0.3">
      <c r="A13" s="332"/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</row>
    <row r="14" spans="1:15" x14ac:dyDescent="0.3">
      <c r="A14" s="332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</row>
    <row r="15" spans="1:15" x14ac:dyDescent="0.3">
      <c r="A15" s="332"/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</row>
    <row r="16" spans="1:15" x14ac:dyDescent="0.3">
      <c r="A16" s="332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</row>
    <row r="17" spans="1:15" x14ac:dyDescent="0.3">
      <c r="A17" s="332"/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</row>
    <row r="18" spans="1:15" x14ac:dyDescent="0.3">
      <c r="A18" s="332"/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</row>
    <row r="19" spans="1:15" x14ac:dyDescent="0.3">
      <c r="A19" s="332"/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</row>
    <row r="20" spans="1:15" x14ac:dyDescent="0.3">
      <c r="A20" s="332"/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</row>
    <row r="21" spans="1:15" x14ac:dyDescent="0.3">
      <c r="A21" s="332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</row>
    <row r="22" spans="1:15" x14ac:dyDescent="0.3">
      <c r="A22" s="332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</row>
    <row r="23" spans="1:15" x14ac:dyDescent="0.3">
      <c r="A23" s="332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I8" sqref="I8"/>
    </sheetView>
  </sheetViews>
  <sheetFormatPr baseColWidth="10" defaultColWidth="11" defaultRowHeight="15.6" x14ac:dyDescent="0.3"/>
  <sheetData>
    <row r="1" spans="2:9" ht="16.2" thickBot="1" x14ac:dyDescent="0.35"/>
    <row r="2" spans="2:9" ht="19.95" customHeight="1" x14ac:dyDescent="0.3">
      <c r="B2" s="543" t="s">
        <v>132</v>
      </c>
      <c r="C2" s="544"/>
      <c r="D2" s="544"/>
      <c r="E2" s="544"/>
      <c r="F2" s="544"/>
      <c r="G2" s="544"/>
      <c r="H2" s="544"/>
      <c r="I2" s="545"/>
    </row>
    <row r="3" spans="2:9" ht="19.95" customHeight="1" thickBot="1" x14ac:dyDescent="0.35">
      <c r="B3" s="546"/>
      <c r="C3" s="547"/>
      <c r="D3" s="547"/>
      <c r="E3" s="547"/>
      <c r="F3" s="547"/>
      <c r="G3" s="547"/>
      <c r="H3" s="547"/>
      <c r="I3" s="548"/>
    </row>
    <row r="4" spans="2:9" ht="16.2" thickBot="1" x14ac:dyDescent="0.35"/>
    <row r="5" spans="2:9" ht="31.95" customHeight="1" thickBot="1" x14ac:dyDescent="0.35">
      <c r="C5" s="549" t="s">
        <v>133</v>
      </c>
      <c r="D5" s="550"/>
      <c r="E5" s="550"/>
      <c r="F5" s="550"/>
      <c r="G5" s="550"/>
      <c r="H5" s="551"/>
    </row>
    <row r="6" spans="2:9" ht="16.2" thickBot="1" x14ac:dyDescent="0.35"/>
    <row r="7" spans="2:9" ht="31.2" customHeight="1" thickBot="1" x14ac:dyDescent="0.35">
      <c r="C7" s="552" t="s">
        <v>200</v>
      </c>
      <c r="D7" s="550"/>
      <c r="E7" s="550"/>
      <c r="F7" s="550"/>
      <c r="G7" s="550"/>
      <c r="H7" s="551"/>
    </row>
    <row r="8" spans="2:9" ht="16.2" thickBot="1" x14ac:dyDescent="0.35"/>
    <row r="9" spans="2:9" ht="31.2" customHeight="1" thickBot="1" x14ac:dyDescent="0.35">
      <c r="C9" s="549" t="s">
        <v>202</v>
      </c>
      <c r="D9" s="550"/>
      <c r="E9" s="550"/>
      <c r="F9" s="550"/>
      <c r="G9" s="550"/>
      <c r="H9" s="551"/>
    </row>
    <row r="10" spans="2:9" ht="16.2" thickBot="1" x14ac:dyDescent="0.35"/>
    <row r="11" spans="2:9" ht="31.95" customHeight="1" thickBot="1" x14ac:dyDescent="0.35">
      <c r="C11" s="549" t="s">
        <v>201</v>
      </c>
      <c r="D11" s="550"/>
      <c r="E11" s="550"/>
      <c r="F11" s="550"/>
      <c r="G11" s="550"/>
      <c r="H11" s="551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E466-89EC-4E92-ADA3-545065A81282}">
  <dimension ref="B1:I11"/>
  <sheetViews>
    <sheetView showGridLines="0" workbookViewId="0">
      <selection activeCell="O15" sqref="O15"/>
    </sheetView>
  </sheetViews>
  <sheetFormatPr baseColWidth="10" defaultRowHeight="15.6" x14ac:dyDescent="0.3"/>
  <sheetData>
    <row r="1" spans="2:9" ht="16.2" thickBot="1" x14ac:dyDescent="0.35"/>
    <row r="2" spans="2:9" ht="18.45" customHeight="1" x14ac:dyDescent="0.3">
      <c r="B2" s="543" t="s">
        <v>210</v>
      </c>
      <c r="C2" s="544"/>
      <c r="D2" s="544"/>
      <c r="E2" s="544"/>
      <c r="F2" s="544"/>
      <c r="G2" s="544"/>
      <c r="H2" s="544"/>
      <c r="I2" s="545"/>
    </row>
    <row r="3" spans="2:9" ht="25.2" customHeight="1" thickBot="1" x14ac:dyDescent="0.35">
      <c r="B3" s="553"/>
      <c r="C3" s="554"/>
      <c r="D3" s="554"/>
      <c r="E3" s="554"/>
      <c r="F3" s="554"/>
      <c r="G3" s="554"/>
      <c r="H3" s="554"/>
      <c r="I3" s="555"/>
    </row>
    <row r="4" spans="2:9" ht="30" customHeight="1" x14ac:dyDescent="0.3">
      <c r="B4" s="556"/>
      <c r="C4" s="557"/>
      <c r="D4" s="557"/>
      <c r="E4" s="557"/>
      <c r="F4" s="557"/>
      <c r="G4" s="557"/>
      <c r="H4" s="557"/>
      <c r="I4" s="558"/>
    </row>
    <row r="5" spans="2:9" ht="30" customHeight="1" x14ac:dyDescent="0.3">
      <c r="B5" s="559"/>
      <c r="C5" s="332"/>
      <c r="D5" s="332"/>
      <c r="E5" s="332"/>
      <c r="F5" s="332"/>
      <c r="G5" s="332"/>
      <c r="H5" s="332"/>
      <c r="I5" s="560"/>
    </row>
    <row r="6" spans="2:9" ht="30" customHeight="1" x14ac:dyDescent="0.3">
      <c r="B6" s="559"/>
      <c r="C6" s="332"/>
      <c r="D6" s="332"/>
      <c r="E6" s="332"/>
      <c r="F6" s="332"/>
      <c r="G6" s="332"/>
      <c r="H6" s="332"/>
      <c r="I6" s="560"/>
    </row>
    <row r="7" spans="2:9" ht="30" customHeight="1" x14ac:dyDescent="0.3">
      <c r="B7" s="559"/>
      <c r="C7" s="332"/>
      <c r="D7" s="332"/>
      <c r="E7" s="332"/>
      <c r="F7" s="332"/>
      <c r="G7" s="332"/>
      <c r="H7" s="332"/>
      <c r="I7" s="560"/>
    </row>
    <row r="8" spans="2:9" ht="30" customHeight="1" x14ac:dyDescent="0.3">
      <c r="B8" s="559"/>
      <c r="C8" s="332"/>
      <c r="D8" s="332"/>
      <c r="E8" s="332"/>
      <c r="F8" s="332"/>
      <c r="G8" s="332"/>
      <c r="H8" s="332"/>
      <c r="I8" s="560"/>
    </row>
    <row r="9" spans="2:9" ht="30" customHeight="1" x14ac:dyDescent="0.3">
      <c r="B9" s="559"/>
      <c r="C9" s="332"/>
      <c r="D9" s="332"/>
      <c r="E9" s="332"/>
      <c r="F9" s="332"/>
      <c r="G9" s="332"/>
      <c r="H9" s="332"/>
      <c r="I9" s="560"/>
    </row>
    <row r="10" spans="2:9" ht="30" customHeight="1" x14ac:dyDescent="0.3">
      <c r="B10" s="559"/>
      <c r="C10" s="332"/>
      <c r="D10" s="332"/>
      <c r="E10" s="332"/>
      <c r="F10" s="332"/>
      <c r="G10" s="332"/>
      <c r="H10" s="332"/>
      <c r="I10" s="560"/>
    </row>
    <row r="11" spans="2:9" ht="30" customHeight="1" thickBot="1" x14ac:dyDescent="0.35">
      <c r="B11" s="561"/>
      <c r="C11" s="562"/>
      <c r="D11" s="562"/>
      <c r="E11" s="562"/>
      <c r="F11" s="562"/>
      <c r="G11" s="562"/>
      <c r="H11" s="562"/>
      <c r="I11" s="563"/>
    </row>
  </sheetData>
  <mergeCells count="2">
    <mergeCell ref="B2:I3"/>
    <mergeCell ref="B4:I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C27" sqref="C27"/>
    </sheetView>
  </sheetViews>
  <sheetFormatPr baseColWidth="10" defaultColWidth="10.19921875" defaultRowHeight="14.4" x14ac:dyDescent="0.3"/>
  <cols>
    <col min="1" max="1" width="10.19921875" style="21"/>
    <col min="2" max="3" width="11.796875" style="21" bestFit="1" customWidth="1"/>
    <col min="4" max="4" width="10.19921875" style="21"/>
    <col min="5" max="5" width="28.19921875" style="21" customWidth="1"/>
    <col min="6" max="6" width="21.69921875" style="21" customWidth="1"/>
    <col min="7" max="7" width="2.296875" style="21" customWidth="1"/>
    <col min="8" max="8" width="28.296875" style="21" customWidth="1"/>
    <col min="9" max="9" width="14.19921875" style="21" bestFit="1" customWidth="1"/>
    <col min="10" max="10" width="11.7968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64" t="s">
        <v>134</v>
      </c>
      <c r="B1" s="565"/>
      <c r="C1" s="565"/>
      <c r="D1" s="565"/>
      <c r="E1" s="565"/>
      <c r="F1" s="565"/>
      <c r="G1" s="565"/>
      <c r="H1" s="565"/>
      <c r="I1" s="565"/>
      <c r="J1" s="566"/>
    </row>
    <row r="2" spans="1:15" ht="16.2" customHeight="1" thickBot="1" x14ac:dyDescent="0.35">
      <c r="A2" s="573"/>
      <c r="B2" s="583"/>
      <c r="C2" s="583"/>
      <c r="D2" s="583"/>
      <c r="E2" s="583"/>
      <c r="F2" s="583"/>
      <c r="G2" s="583"/>
      <c r="H2" s="572"/>
      <c r="I2" s="572"/>
      <c r="J2" s="587"/>
    </row>
    <row r="3" spans="1:15" ht="15.45" customHeight="1" thickBot="1" x14ac:dyDescent="0.35">
      <c r="A3" s="574"/>
      <c r="B3" s="567" t="s">
        <v>135</v>
      </c>
      <c r="C3" s="568"/>
      <c r="D3" s="568"/>
      <c r="E3" s="568"/>
      <c r="F3" s="569"/>
      <c r="G3" s="581"/>
      <c r="H3" s="73" t="s">
        <v>136</v>
      </c>
      <c r="I3" s="71"/>
      <c r="J3" s="141">
        <f>IF('Etat Civil'!C11='Etat Civil'!G44,'Etat Civil'!H8-'Etat Civil'!E11,'Etat Civil'!H8-MIN('Etat Civil'!H8*0.1,12829))+IF('Etat Civil'!C17='Etat Civil'!G44,'Etat Civil'!H14-'Etat Civil'!E17,'Etat Civil'!H14-MIN('Etat Civil'!H14*0.1,12829))+IF(ISNUMBER('Etat Civil'!H22),('Etat Civil'!H22-MAX(400,MIN('Etat Civil'!H22*0.1,3912))),0)+'Etat Civil'!H10+'Etat Civil'!H16+'Etat Civil'!H20-'Etat Civil'!G32</f>
        <v>93155</v>
      </c>
    </row>
    <row r="4" spans="1:15" ht="15.45" customHeight="1" thickBot="1" x14ac:dyDescent="0.35">
      <c r="A4" s="574"/>
      <c r="B4" s="52"/>
      <c r="C4" s="53"/>
      <c r="D4" s="69"/>
      <c r="E4" s="53"/>
      <c r="F4" s="54"/>
      <c r="G4" s="581"/>
      <c r="H4" s="74" t="s">
        <v>137</v>
      </c>
      <c r="I4" s="72"/>
      <c r="J4" s="70">
        <f>'Impôt 2021 revenus 2020'!C10</f>
        <v>2</v>
      </c>
      <c r="M4" s="21">
        <v>0</v>
      </c>
      <c r="O4" s="21" t="s">
        <v>138</v>
      </c>
    </row>
    <row r="5" spans="1:15" ht="15.45" customHeight="1" x14ac:dyDescent="0.3">
      <c r="A5" s="574"/>
      <c r="B5" s="55">
        <v>0</v>
      </c>
      <c r="C5" s="56">
        <v>10225</v>
      </c>
      <c r="D5" s="61">
        <f>0</f>
        <v>0</v>
      </c>
      <c r="E5" s="56">
        <f>0</f>
        <v>0</v>
      </c>
      <c r="F5" s="57"/>
      <c r="G5" s="581"/>
      <c r="H5" s="583"/>
      <c r="I5" s="583"/>
      <c r="J5" s="576"/>
      <c r="M5" s="21">
        <v>1</v>
      </c>
      <c r="O5" s="21" t="s">
        <v>139</v>
      </c>
    </row>
    <row r="6" spans="1:15" ht="15.45" customHeight="1" x14ac:dyDescent="0.3">
      <c r="A6" s="574"/>
      <c r="B6" s="55">
        <v>10226</v>
      </c>
      <c r="C6" s="56">
        <v>26070</v>
      </c>
      <c r="D6" s="61">
        <v>0.11</v>
      </c>
      <c r="E6" s="56">
        <f>(C6-B6)*D6</f>
        <v>1742.84</v>
      </c>
      <c r="F6" s="57"/>
      <c r="G6" s="581"/>
      <c r="H6" s="581"/>
      <c r="I6" s="581"/>
      <c r="J6" s="577"/>
      <c r="M6" s="21">
        <v>2</v>
      </c>
      <c r="O6" s="21" t="s">
        <v>140</v>
      </c>
    </row>
    <row r="7" spans="1:15" ht="15.45" customHeight="1" x14ac:dyDescent="0.3">
      <c r="A7" s="574"/>
      <c r="B7" s="55">
        <v>26071</v>
      </c>
      <c r="C7" s="56">
        <v>74545</v>
      </c>
      <c r="D7" s="61">
        <f>0.3</f>
        <v>0.3</v>
      </c>
      <c r="E7" s="56">
        <f>(C7-B7)*D7</f>
        <v>14542.199999999999</v>
      </c>
      <c r="F7" s="57">
        <f>E7+E6</f>
        <v>16285.039999999999</v>
      </c>
      <c r="G7" s="581"/>
      <c r="H7" s="581"/>
      <c r="I7" s="581"/>
      <c r="J7" s="577"/>
      <c r="M7" s="21">
        <v>3</v>
      </c>
    </row>
    <row r="8" spans="1:15" ht="15.45" customHeight="1" thickBot="1" x14ac:dyDescent="0.35">
      <c r="A8" s="574"/>
      <c r="B8" s="55">
        <v>74546</v>
      </c>
      <c r="C8" s="56">
        <v>160336</v>
      </c>
      <c r="D8" s="61">
        <v>0.41</v>
      </c>
      <c r="E8" s="56">
        <f>(C8-B8)*D8</f>
        <v>35173.9</v>
      </c>
      <c r="F8" s="57">
        <f>SUM(E6:E8)</f>
        <v>51458.94</v>
      </c>
      <c r="G8" s="581"/>
      <c r="H8" s="581"/>
      <c r="I8" s="581"/>
      <c r="J8" s="577"/>
      <c r="M8" s="21">
        <v>4</v>
      </c>
    </row>
    <row r="9" spans="1:15" ht="15.45" customHeight="1" thickBot="1" x14ac:dyDescent="0.35">
      <c r="A9" s="574"/>
      <c r="B9" s="58"/>
      <c r="C9" s="59"/>
      <c r="D9" s="62">
        <f>0.45</f>
        <v>0.45</v>
      </c>
      <c r="E9" s="59"/>
      <c r="F9" s="60"/>
      <c r="G9" s="581"/>
      <c r="H9" s="567" t="s">
        <v>141</v>
      </c>
      <c r="I9" s="569"/>
      <c r="J9" s="51"/>
      <c r="M9" s="21">
        <v>5</v>
      </c>
    </row>
    <row r="10" spans="1:15" ht="15.45" customHeight="1" x14ac:dyDescent="0.3">
      <c r="A10" s="574"/>
      <c r="B10" s="583"/>
      <c r="C10" s="583"/>
      <c r="D10" s="583"/>
      <c r="E10" s="583"/>
      <c r="F10" s="583"/>
      <c r="G10" s="581"/>
      <c r="H10" s="79" t="s">
        <v>142</v>
      </c>
      <c r="I10" s="75">
        <f>IF(J3&gt;=C8, (J3-C8)*D9+E8+E7+E6, IF(J3&gt;=C7, (J3-C7)*D8+E7+E6, IF(J3&gt;=C6, (J3-C6)*D7+E6, IF(J3&gt;=C5, (J3-C5)*D6, 0))))</f>
        <v>23915.14</v>
      </c>
      <c r="J10" s="51"/>
      <c r="M10" s="21">
        <v>6</v>
      </c>
    </row>
    <row r="11" spans="1:15" ht="15.45" customHeight="1" x14ac:dyDescent="0.3">
      <c r="A11" s="574"/>
      <c r="B11" s="581"/>
      <c r="C11" s="581"/>
      <c r="D11" s="581"/>
      <c r="E11" s="581"/>
      <c r="F11" s="581"/>
      <c r="G11" s="581"/>
      <c r="H11" s="80" t="s">
        <v>143</v>
      </c>
      <c r="I11" s="76">
        <f>IF(J3&gt;=C28, (J3-C28)*D29+E28+E27+E26, IF(J3&gt;=C27, (J3-C27)*D28+E27+E26, IF(J3&gt;=C26, (J3-C26)*D27+E26, IF(J3&gt;=C25, (J3-C25)*D26, 0))))</f>
        <v>15790.18</v>
      </c>
      <c r="J11" s="51"/>
      <c r="M11" s="21">
        <v>7</v>
      </c>
    </row>
    <row r="12" spans="1:15" ht="15.45" customHeight="1" x14ac:dyDescent="0.3">
      <c r="A12" s="574"/>
      <c r="B12" s="581"/>
      <c r="C12" s="581"/>
      <c r="D12" s="581"/>
      <c r="E12" s="581"/>
      <c r="F12" s="581"/>
      <c r="G12" s="581"/>
      <c r="H12" s="80"/>
      <c r="I12" s="77"/>
      <c r="J12" s="51"/>
      <c r="M12" s="21">
        <v>8</v>
      </c>
    </row>
    <row r="13" spans="1:15" ht="15.45" customHeight="1" x14ac:dyDescent="0.3">
      <c r="A13" s="574"/>
      <c r="B13" s="581"/>
      <c r="C13" s="581"/>
      <c r="D13" s="581"/>
      <c r="E13" s="581"/>
      <c r="F13" s="581"/>
      <c r="G13" s="581"/>
      <c r="H13" s="80" t="s">
        <v>144</v>
      </c>
      <c r="I13" s="77">
        <f>IF('Impôt 2021 revenus 2020'!C5="Parent isolé (T)", 1,0)</f>
        <v>0</v>
      </c>
      <c r="J13" s="51"/>
      <c r="M13" s="21">
        <v>9</v>
      </c>
    </row>
    <row r="14" spans="1:15" ht="15.45" customHeight="1" x14ac:dyDescent="0.3">
      <c r="A14" s="574"/>
      <c r="B14" s="581"/>
      <c r="C14" s="581"/>
      <c r="D14" s="581"/>
      <c r="E14" s="581"/>
      <c r="F14" s="581"/>
      <c r="G14" s="581"/>
      <c r="H14" s="80" t="s">
        <v>145</v>
      </c>
      <c r="I14" s="77">
        <f>IF('Impôt 2021 revenus 2020'!C5="Enfant élevé seul (L)", 1, 0)</f>
        <v>0</v>
      </c>
      <c r="J14" s="51"/>
    </row>
    <row r="15" spans="1:15" ht="15.45" customHeight="1" thickBot="1" x14ac:dyDescent="0.35">
      <c r="A15" s="575"/>
      <c r="B15" s="582"/>
      <c r="C15" s="582"/>
      <c r="D15" s="582"/>
      <c r="E15" s="582"/>
      <c r="F15" s="582"/>
      <c r="G15" s="581"/>
      <c r="H15" s="80" t="s">
        <v>146</v>
      </c>
      <c r="I15" s="77">
        <f>IF('Impôt 2021 revenus 2020'!C5="Invalidité", 1,0)</f>
        <v>0</v>
      </c>
      <c r="J15" s="51"/>
    </row>
    <row r="16" spans="1:15" ht="16.2" customHeight="1" thickBot="1" x14ac:dyDescent="0.35">
      <c r="A16" s="584" t="s">
        <v>147</v>
      </c>
      <c r="B16" s="585"/>
      <c r="C16" s="585"/>
      <c r="D16" s="585"/>
      <c r="E16" s="585"/>
      <c r="F16" s="586"/>
      <c r="G16" s="581"/>
      <c r="H16" s="80" t="s">
        <v>148</v>
      </c>
      <c r="I16" s="77">
        <f>IF('Impôt 2021 revenus 2020'!C5=0, (J4-1)*2, (J4-1)*2-1)</f>
        <v>2</v>
      </c>
      <c r="J16" s="51"/>
    </row>
    <row r="17" spans="1:17" ht="15.45" customHeight="1" x14ac:dyDescent="0.3">
      <c r="A17" s="95">
        <v>1592</v>
      </c>
      <c r="B17" s="44" t="s">
        <v>149</v>
      </c>
      <c r="C17" s="44"/>
      <c r="D17" s="44"/>
      <c r="E17" s="44"/>
      <c r="F17" s="45"/>
      <c r="G17" s="581"/>
      <c r="H17" s="80" t="s">
        <v>150</v>
      </c>
      <c r="I17" s="76">
        <f>I10-A17*I16-I13*A19-I14*A18-I15*A20</f>
        <v>20731.14</v>
      </c>
      <c r="J17" s="51"/>
      <c r="O17" s="21" t="s">
        <v>151</v>
      </c>
      <c r="P17" s="21">
        <v>0</v>
      </c>
      <c r="Q17" s="21">
        <v>1</v>
      </c>
    </row>
    <row r="18" spans="1:17" ht="15.45" customHeight="1" x14ac:dyDescent="0.3">
      <c r="A18" s="96">
        <v>936</v>
      </c>
      <c r="B18" s="46" t="s">
        <v>152</v>
      </c>
      <c r="C18" s="46"/>
      <c r="D18" s="46"/>
      <c r="E18" s="46"/>
      <c r="F18" s="47"/>
      <c r="G18" s="581"/>
      <c r="H18" s="80"/>
      <c r="I18" s="77"/>
      <c r="J18" s="51"/>
      <c r="P18" s="21">
        <v>1</v>
      </c>
      <c r="Q18" s="21">
        <v>1.5</v>
      </c>
    </row>
    <row r="19" spans="1:17" ht="15.45" customHeight="1" x14ac:dyDescent="0.3">
      <c r="A19" s="96">
        <f>3697-1567</f>
        <v>2130</v>
      </c>
      <c r="B19" s="46" t="s">
        <v>153</v>
      </c>
      <c r="C19" s="46"/>
      <c r="D19" s="46"/>
      <c r="E19" s="46"/>
      <c r="F19" s="47"/>
      <c r="G19" s="581"/>
      <c r="H19" s="80"/>
      <c r="I19" s="77"/>
      <c r="J19" s="51"/>
      <c r="P19" s="21">
        <v>2</v>
      </c>
      <c r="Q19" s="21">
        <v>2</v>
      </c>
    </row>
    <row r="20" spans="1:17" ht="15.45" customHeight="1" x14ac:dyDescent="0.3">
      <c r="A20" s="96">
        <v>3129</v>
      </c>
      <c r="B20" s="46" t="s">
        <v>154</v>
      </c>
      <c r="C20" s="46"/>
      <c r="D20" s="46"/>
      <c r="E20" s="46"/>
      <c r="F20" s="47"/>
      <c r="G20" s="581"/>
      <c r="H20" s="80" t="s">
        <v>155</v>
      </c>
      <c r="I20" s="76">
        <f>IF(I11&gt;I17, I11, I17)</f>
        <v>20731.14</v>
      </c>
      <c r="J20" s="51"/>
      <c r="P20" s="21">
        <v>3</v>
      </c>
      <c r="Q20" s="21">
        <v>3</v>
      </c>
    </row>
    <row r="21" spans="1:17" ht="16.2" customHeight="1" thickBot="1" x14ac:dyDescent="0.35">
      <c r="A21" s="48"/>
      <c r="B21" s="49" t="s">
        <v>156</v>
      </c>
      <c r="C21" s="49"/>
      <c r="D21" s="49"/>
      <c r="E21" s="49"/>
      <c r="F21" s="50"/>
      <c r="G21" s="581"/>
      <c r="H21" s="80" t="s">
        <v>157</v>
      </c>
      <c r="I21" s="77">
        <f>IF(I20&lt;=1717, (777-I20*0.4525), 0)</f>
        <v>0</v>
      </c>
      <c r="J21" s="51"/>
      <c r="P21" s="21">
        <v>4</v>
      </c>
      <c r="Q21" s="21">
        <v>4</v>
      </c>
    </row>
    <row r="22" spans="1:17" ht="16.2" customHeight="1" thickBot="1" x14ac:dyDescent="0.35">
      <c r="A22" s="573"/>
      <c r="B22" s="583"/>
      <c r="C22" s="583"/>
      <c r="D22" s="583"/>
      <c r="E22" s="583"/>
      <c r="F22" s="583"/>
      <c r="G22" s="581"/>
      <c r="H22" s="81" t="s">
        <v>158</v>
      </c>
      <c r="I22" s="78">
        <f>IF(I21&gt;I20, 0, I20-I21)</f>
        <v>20731.14</v>
      </c>
      <c r="J22" s="51"/>
      <c r="P22" s="21">
        <v>5</v>
      </c>
      <c r="Q22" s="21">
        <v>5</v>
      </c>
    </row>
    <row r="23" spans="1:17" ht="16.2" customHeight="1" thickBot="1" x14ac:dyDescent="0.35">
      <c r="A23" s="580"/>
      <c r="B23" s="567" t="s">
        <v>159</v>
      </c>
      <c r="C23" s="568"/>
      <c r="D23" s="568"/>
      <c r="E23" s="568"/>
      <c r="F23" s="569"/>
      <c r="G23" s="581"/>
      <c r="H23" s="581"/>
      <c r="I23" s="581"/>
      <c r="J23" s="577"/>
      <c r="P23" s="21">
        <v>6</v>
      </c>
      <c r="Q23" s="21">
        <v>6</v>
      </c>
    </row>
    <row r="24" spans="1:17" ht="15.45" customHeight="1" x14ac:dyDescent="0.3">
      <c r="A24" s="580"/>
      <c r="B24" s="52"/>
      <c r="C24" s="53"/>
      <c r="D24" s="53"/>
      <c r="E24" s="53"/>
      <c r="F24" s="54"/>
      <c r="G24" s="581"/>
      <c r="H24" s="581"/>
      <c r="I24" s="581"/>
      <c r="J24" s="577"/>
      <c r="P24" s="21">
        <v>7</v>
      </c>
      <c r="Q24" s="21">
        <v>7</v>
      </c>
    </row>
    <row r="25" spans="1:17" ht="15.45" customHeight="1" x14ac:dyDescent="0.3">
      <c r="A25" s="580"/>
      <c r="B25" s="55">
        <v>0</v>
      </c>
      <c r="C25" s="56">
        <f>C5*$J$4</f>
        <v>20450</v>
      </c>
      <c r="D25" s="61">
        <f>0</f>
        <v>0</v>
      </c>
      <c r="E25" s="56">
        <f>0</f>
        <v>0</v>
      </c>
      <c r="F25" s="57"/>
      <c r="G25" s="581"/>
      <c r="H25" s="581"/>
      <c r="I25" s="581"/>
      <c r="J25" s="577"/>
      <c r="P25" s="21">
        <v>8</v>
      </c>
      <c r="Q25" s="21">
        <v>8</v>
      </c>
    </row>
    <row r="26" spans="1:17" ht="15.45" customHeight="1" x14ac:dyDescent="0.3">
      <c r="A26" s="580"/>
      <c r="B26" s="55">
        <f>B6*$J$4</f>
        <v>20452</v>
      </c>
      <c r="C26" s="56">
        <f>C6*$J$4</f>
        <v>52140</v>
      </c>
      <c r="D26" s="61">
        <v>0.11</v>
      </c>
      <c r="E26" s="56">
        <f>(C26-B26)*D26</f>
        <v>3485.68</v>
      </c>
      <c r="F26" s="57"/>
      <c r="G26" s="581"/>
      <c r="H26" s="581"/>
      <c r="I26" s="581"/>
      <c r="J26" s="577"/>
    </row>
    <row r="27" spans="1:17" ht="15.45" customHeight="1" x14ac:dyDescent="0.3">
      <c r="A27" s="580"/>
      <c r="B27" s="55">
        <f>B7*$J$4</f>
        <v>52142</v>
      </c>
      <c r="C27" s="56">
        <f>C7*$J$4</f>
        <v>149090</v>
      </c>
      <c r="D27" s="61">
        <f>0.3</f>
        <v>0.3</v>
      </c>
      <c r="E27" s="56">
        <f>(C27-B27)*D27</f>
        <v>29084.399999999998</v>
      </c>
      <c r="F27" s="57">
        <f>E27+E26</f>
        <v>32570.079999999998</v>
      </c>
      <c r="G27" s="581"/>
      <c r="H27" s="581"/>
      <c r="I27" s="581"/>
      <c r="J27" s="577"/>
      <c r="O27" s="21" t="s">
        <v>18</v>
      </c>
      <c r="P27" s="21">
        <v>0</v>
      </c>
      <c r="Q27" s="21">
        <v>2</v>
      </c>
    </row>
    <row r="28" spans="1:17" ht="15.45" customHeight="1" x14ac:dyDescent="0.3">
      <c r="A28" s="580"/>
      <c r="B28" s="55">
        <f>B8*$J$4</f>
        <v>149092</v>
      </c>
      <c r="C28" s="56">
        <f>C8*$J$4</f>
        <v>320672</v>
      </c>
      <c r="D28" s="61">
        <v>0.41</v>
      </c>
      <c r="E28" s="56">
        <f>(C28-B28)*D28</f>
        <v>70347.8</v>
      </c>
      <c r="F28" s="57">
        <f>SUM(E26:E28)</f>
        <v>102917.88</v>
      </c>
      <c r="G28" s="581"/>
      <c r="H28" s="581"/>
      <c r="I28" s="581"/>
      <c r="J28" s="577"/>
      <c r="P28" s="21">
        <v>1</v>
      </c>
      <c r="Q28" s="21">
        <v>2.5</v>
      </c>
    </row>
    <row r="29" spans="1:17" ht="16.2" customHeight="1" thickBot="1" x14ac:dyDescent="0.35">
      <c r="A29" s="588"/>
      <c r="B29" s="58"/>
      <c r="C29" s="59"/>
      <c r="D29" s="62">
        <f>0.45</f>
        <v>0.45</v>
      </c>
      <c r="E29" s="59"/>
      <c r="F29" s="60"/>
      <c r="G29" s="582"/>
      <c r="H29" s="582"/>
      <c r="I29" s="582"/>
      <c r="J29" s="578"/>
      <c r="P29" s="21">
        <v>2</v>
      </c>
      <c r="Q29" s="21">
        <v>3</v>
      </c>
    </row>
    <row r="30" spans="1:17" ht="15" thickBot="1" x14ac:dyDescent="0.35">
      <c r="A30" s="572"/>
      <c r="B30" s="572"/>
      <c r="C30" s="572"/>
      <c r="D30" s="572"/>
      <c r="E30" s="572"/>
      <c r="F30" s="572"/>
      <c r="G30" s="572"/>
      <c r="H30" s="572"/>
      <c r="I30" s="572"/>
      <c r="J30" s="572"/>
      <c r="P30" s="21">
        <v>3</v>
      </c>
      <c r="Q30" s="21">
        <v>4</v>
      </c>
    </row>
    <row r="31" spans="1:17" ht="15" thickBot="1" x14ac:dyDescent="0.35">
      <c r="A31" s="564" t="s">
        <v>160</v>
      </c>
      <c r="B31" s="570"/>
      <c r="C31" s="570"/>
      <c r="D31" s="570"/>
      <c r="E31" s="570"/>
      <c r="F31" s="570"/>
      <c r="G31" s="565"/>
      <c r="H31" s="565"/>
      <c r="I31" s="565"/>
      <c r="J31" s="566"/>
      <c r="P31" s="21">
        <v>4</v>
      </c>
      <c r="Q31" s="21">
        <v>5</v>
      </c>
    </row>
    <row r="32" spans="1:17" ht="16.2" customHeight="1" thickBot="1" x14ac:dyDescent="0.35">
      <c r="A32" s="573"/>
      <c r="B32" s="567"/>
      <c r="C32" s="568"/>
      <c r="D32" s="571"/>
      <c r="E32" s="63" t="s">
        <v>161</v>
      </c>
      <c r="F32" s="64" t="s">
        <v>162</v>
      </c>
      <c r="G32" s="579"/>
      <c r="H32" s="567" t="s">
        <v>141</v>
      </c>
      <c r="I32" s="569"/>
      <c r="J32" s="576"/>
      <c r="P32" s="21">
        <v>5</v>
      </c>
      <c r="Q32" s="21">
        <v>6</v>
      </c>
    </row>
    <row r="33" spans="1:19" ht="15.45" customHeight="1" x14ac:dyDescent="0.3">
      <c r="A33" s="574"/>
      <c r="B33" s="65">
        <f>B5*2</f>
        <v>0</v>
      </c>
      <c r="C33" s="66">
        <f>C5*2</f>
        <v>20450</v>
      </c>
      <c r="D33" s="68">
        <v>0</v>
      </c>
      <c r="E33" s="66">
        <v>0</v>
      </c>
      <c r="F33" s="67"/>
      <c r="G33" s="580"/>
      <c r="H33" s="82" t="s">
        <v>163</v>
      </c>
      <c r="I33" s="85">
        <f>IF(J3&gt;=C37, (J3-C37)*D38+E37+E36+E34, IF(J3&gt;=C36, (J3-C36)*D37+E36+E34, IF(J3&gt;=C34, (J3-C34)*D36+E34, IF(J3&gt;=C33, (J3-C33)*D34, 0))))</f>
        <v>15790.18</v>
      </c>
      <c r="J33" s="577"/>
      <c r="P33" s="21">
        <v>6</v>
      </c>
      <c r="Q33" s="21">
        <v>7</v>
      </c>
    </row>
    <row r="34" spans="1:19" ht="15.45" customHeight="1" x14ac:dyDescent="0.3">
      <c r="A34" s="574"/>
      <c r="B34" s="55">
        <f t="shared" ref="B34:C34" si="0">B6*2</f>
        <v>20452</v>
      </c>
      <c r="C34" s="56">
        <f t="shared" si="0"/>
        <v>52140</v>
      </c>
      <c r="D34" s="61">
        <v>0.11</v>
      </c>
      <c r="E34" s="56">
        <f>(C34-B34)*D34</f>
        <v>3485.68</v>
      </c>
      <c r="F34" s="57"/>
      <c r="G34" s="580"/>
      <c r="H34" s="83" t="s">
        <v>143</v>
      </c>
      <c r="I34" s="86">
        <f>IF(J3&gt;=C28, (J3-C28)*D29+E28+E27+E26, IF(J3&gt;=C27, (J3-C27)*D28+E27+E26, IF(J3&gt;=C26, (J3-C26)*D27+E26, IF(J3&gt;=C25, (J3-C25)*D26, 0))))</f>
        <v>15790.18</v>
      </c>
      <c r="J34" s="577"/>
      <c r="P34" s="21">
        <v>7</v>
      </c>
      <c r="Q34" s="21">
        <v>8</v>
      </c>
    </row>
    <row r="35" spans="1:19" ht="15.45" customHeight="1" x14ac:dyDescent="0.3">
      <c r="A35" s="574"/>
      <c r="B35" s="55"/>
      <c r="C35" s="56"/>
      <c r="D35" s="61"/>
      <c r="E35" s="56"/>
      <c r="F35" s="57"/>
      <c r="G35" s="580"/>
      <c r="H35" s="83" t="s">
        <v>164</v>
      </c>
      <c r="I35" s="87">
        <f>IF('Impôt 2021 revenus 2020'!C5="Invalidité", 1,0)</f>
        <v>0</v>
      </c>
      <c r="J35" s="577"/>
      <c r="P35" s="21">
        <v>8</v>
      </c>
      <c r="Q35" s="21">
        <v>9</v>
      </c>
    </row>
    <row r="36" spans="1:19" ht="15.45" customHeight="1" x14ac:dyDescent="0.3">
      <c r="A36" s="574"/>
      <c r="B36" s="55">
        <f>B7*2</f>
        <v>52142</v>
      </c>
      <c r="C36" s="56">
        <f>C7*2</f>
        <v>149090</v>
      </c>
      <c r="D36" s="61">
        <v>0.3</v>
      </c>
      <c r="E36" s="56">
        <f>(C36-B36)*D36</f>
        <v>29084.399999999998</v>
      </c>
      <c r="F36" s="57">
        <f>E34+E36</f>
        <v>32570.079999999998</v>
      </c>
      <c r="G36" s="580"/>
      <c r="H36" s="83" t="s">
        <v>165</v>
      </c>
      <c r="I36" s="87">
        <f>MAX(0,IF('Impôt 2021 revenus 2020'!C5=0, (J4-2)*2, (J4-2)*2-1))</f>
        <v>0</v>
      </c>
      <c r="J36" s="577"/>
      <c r="O36" s="21">
        <f>IF(OR('Impôt 2021 revenus 2020'!C3="Célibataire",'Impôt 2021 revenus 2020'!C3="Concubinage",'Impôt 2021 revenus 2020'!C3="Divorcé",'Impôt 2021 revenus 2020'!C3="Veuf"), VLOOKUP('Impôt 2021 revenus 2020'!C4,P17:Q25, 2, FALSE) - IF('Etat Civil'!C22="Alternée",IF('Etat Civil'!C34=1,0.25,IF('Etat Civil'!C34=2,0.5,IF('Etat Civil'!C34=3,1,IF('Etat Civil'!C34=4,1.5,2)))),0), VLOOKUP('Impôt 2021 revenus 2020'!C4,P27:Q35, 2, FALSE))</f>
        <v>2</v>
      </c>
    </row>
    <row r="37" spans="1:19" ht="15.45" customHeight="1" x14ac:dyDescent="0.3">
      <c r="A37" s="574"/>
      <c r="B37" s="55">
        <f>B8*2</f>
        <v>149092</v>
      </c>
      <c r="C37" s="56">
        <f>C8*2</f>
        <v>320672</v>
      </c>
      <c r="D37" s="61">
        <v>0.41</v>
      </c>
      <c r="E37" s="56">
        <f>(C37-B37)*D37</f>
        <v>70347.8</v>
      </c>
      <c r="F37" s="57">
        <f>E34+E36+E37</f>
        <v>102917.88</v>
      </c>
      <c r="G37" s="580"/>
      <c r="H37" s="83" t="s">
        <v>150</v>
      </c>
      <c r="I37" s="86">
        <f>I33-A17*I36-I35*A20</f>
        <v>15790.18</v>
      </c>
      <c r="J37" s="577"/>
    </row>
    <row r="38" spans="1:19" ht="16.2" customHeight="1" thickBot="1" x14ac:dyDescent="0.35">
      <c r="A38" s="574"/>
      <c r="B38" s="58"/>
      <c r="C38" s="59"/>
      <c r="D38" s="62">
        <v>0.45</v>
      </c>
      <c r="E38" s="59"/>
      <c r="F38" s="60"/>
      <c r="G38" s="580"/>
      <c r="H38" s="83"/>
      <c r="I38" s="87"/>
      <c r="J38" s="577"/>
    </row>
    <row r="39" spans="1:19" ht="15.45" customHeight="1" x14ac:dyDescent="0.3">
      <c r="A39" s="574"/>
      <c r="B39" s="581"/>
      <c r="C39" s="581"/>
      <c r="D39" s="581"/>
      <c r="E39" s="581"/>
      <c r="F39" s="581"/>
      <c r="G39" s="581"/>
      <c r="H39" s="83" t="s">
        <v>155</v>
      </c>
      <c r="I39" s="86">
        <f>IF(I34&gt;I37, I34, I37)</f>
        <v>15790.18</v>
      </c>
      <c r="J39" s="577"/>
    </row>
    <row r="40" spans="1:19" ht="15.45" customHeight="1" x14ac:dyDescent="0.3">
      <c r="A40" s="574"/>
      <c r="B40" s="581"/>
      <c r="C40" s="581"/>
      <c r="D40" s="581"/>
      <c r="E40" s="581"/>
      <c r="F40" s="581"/>
      <c r="G40" s="581"/>
      <c r="H40" s="83" t="s">
        <v>157</v>
      </c>
      <c r="I40" s="88">
        <f>IF(I39&lt;=2842, 1286-I39*0.4525, 0)</f>
        <v>0</v>
      </c>
      <c r="J40" s="577"/>
      <c r="O40" s="21">
        <f>1196*1.01</f>
        <v>1207.96</v>
      </c>
    </row>
    <row r="41" spans="1:19" ht="16.2" customHeight="1" thickBot="1" x14ac:dyDescent="0.35">
      <c r="A41" s="574"/>
      <c r="B41" s="581"/>
      <c r="C41" s="581"/>
      <c r="D41" s="581"/>
      <c r="E41" s="581"/>
      <c r="F41" s="581"/>
      <c r="G41" s="581"/>
      <c r="H41" s="84" t="s">
        <v>158</v>
      </c>
      <c r="I41" s="89">
        <f>IF(I40&gt;I39, 0, I39-I40)</f>
        <v>15790.18</v>
      </c>
      <c r="J41" s="577"/>
      <c r="O41" s="21">
        <f>1970*(1+O42)</f>
        <v>1989.7</v>
      </c>
      <c r="R41" s="21">
        <f>1208-0.75*1000</f>
        <v>458</v>
      </c>
      <c r="S41" s="21">
        <v>1611</v>
      </c>
    </row>
    <row r="42" spans="1:19" ht="16.2" customHeight="1" thickBot="1" x14ac:dyDescent="0.35">
      <c r="A42" s="575"/>
      <c r="B42" s="582"/>
      <c r="C42" s="582"/>
      <c r="D42" s="582"/>
      <c r="E42" s="582"/>
      <c r="F42" s="582"/>
      <c r="G42" s="582"/>
      <c r="H42" s="572"/>
      <c r="I42" s="572"/>
      <c r="J42" s="578"/>
      <c r="O42" s="21">
        <v>0.01</v>
      </c>
      <c r="S42" s="21">
        <v>2653</v>
      </c>
    </row>
  </sheetData>
  <sheetProtection algorithmName="SHA-512" hashValue="A+wNetsvf1tO//jBZrTILuaLgClivLcu8/crf7bbLXtGqP4yYFqfZa3M+4O/fU42ljobBoO2tVrZKxpKyCmmFw==" saltValue="gVxl47s3ccij2z78kDSSCw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3" sqref="C3"/>
    </sheetView>
  </sheetViews>
  <sheetFormatPr baseColWidth="10" defaultColWidth="10.19921875" defaultRowHeight="14.4" x14ac:dyDescent="0.3"/>
  <cols>
    <col min="1" max="1" width="10.19921875" style="22"/>
    <col min="2" max="2" width="20.296875" style="22" customWidth="1"/>
    <col min="3" max="3" width="26.19921875" style="22" customWidth="1"/>
    <col min="4" max="4" width="18.296875" style="22" customWidth="1"/>
    <col min="5" max="16384" width="10.19921875" style="22"/>
  </cols>
  <sheetData>
    <row r="1" spans="1:29" ht="28.8" x14ac:dyDescent="0.55000000000000004">
      <c r="A1" s="589" t="s">
        <v>166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1"/>
      <c r="O1" s="592" t="s">
        <v>167</v>
      </c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</row>
    <row r="2" spans="1:29" ht="15.6" x14ac:dyDescent="0.3">
      <c r="A2" s="23"/>
      <c r="K2" s="595" t="s">
        <v>168</v>
      </c>
      <c r="L2" s="595"/>
      <c r="M2" s="595"/>
      <c r="N2" s="596"/>
      <c r="O2" s="594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</row>
    <row r="3" spans="1:29" ht="28.5" customHeight="1" x14ac:dyDescent="0.3">
      <c r="A3" s="24" t="s">
        <v>169</v>
      </c>
      <c r="B3" s="25"/>
      <c r="C3" s="26" t="str">
        <f>'Etat Civil'!C19</f>
        <v>Marié</v>
      </c>
      <c r="N3" s="27"/>
      <c r="O3" s="594"/>
      <c r="P3" s="593"/>
      <c r="Q3" s="593"/>
      <c r="R3" s="593"/>
      <c r="S3" s="593"/>
      <c r="T3" s="593"/>
      <c r="U3" s="593"/>
      <c r="V3" s="593"/>
      <c r="W3" s="593"/>
      <c r="X3" s="593"/>
      <c r="Y3" s="593"/>
      <c r="Z3" s="593"/>
      <c r="AA3" s="593"/>
      <c r="AB3" s="593"/>
      <c r="AC3" s="593"/>
    </row>
    <row r="4" spans="1:29" ht="28.5" customHeight="1" x14ac:dyDescent="0.3">
      <c r="A4" s="24" t="s">
        <v>170</v>
      </c>
      <c r="B4" s="25"/>
      <c r="C4" s="26">
        <f>'Etat Civil'!C34</f>
        <v>0</v>
      </c>
      <c r="N4" s="27"/>
      <c r="O4" s="594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</row>
    <row r="5" spans="1:29" ht="28.5" customHeight="1" x14ac:dyDescent="0.3">
      <c r="A5" s="24" t="s">
        <v>23</v>
      </c>
      <c r="B5" s="25"/>
      <c r="C5" s="28">
        <f>'Etat Civil'!C21</f>
        <v>0</v>
      </c>
      <c r="D5" s="597" t="s">
        <v>171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4"/>
      <c r="P5" s="593"/>
      <c r="Q5" s="593"/>
      <c r="R5" s="593"/>
      <c r="S5" s="593"/>
      <c r="T5" s="593"/>
      <c r="U5" s="593"/>
      <c r="V5" s="593"/>
      <c r="W5" s="593"/>
      <c r="X5" s="593"/>
      <c r="Y5" s="593"/>
      <c r="Z5" s="593"/>
      <c r="AA5" s="593"/>
      <c r="AB5" s="593"/>
      <c r="AC5" s="593"/>
    </row>
    <row r="6" spans="1:29" ht="28.5" customHeight="1" x14ac:dyDescent="0.3">
      <c r="A6" s="24"/>
      <c r="B6" s="25"/>
      <c r="C6" s="29"/>
      <c r="N6" s="27"/>
      <c r="O6" s="594"/>
      <c r="P6" s="593"/>
      <c r="Q6" s="593"/>
      <c r="R6" s="593"/>
      <c r="S6" s="593"/>
      <c r="T6" s="593"/>
      <c r="U6" s="593"/>
      <c r="V6" s="593"/>
      <c r="W6" s="593"/>
      <c r="X6" s="593"/>
      <c r="Y6" s="593"/>
      <c r="Z6" s="593"/>
      <c r="AA6" s="593"/>
      <c r="AB6" s="593"/>
      <c r="AC6" s="593"/>
    </row>
    <row r="7" spans="1:29" ht="28.5" hidden="1" customHeight="1" x14ac:dyDescent="0.3">
      <c r="A7" s="24"/>
      <c r="B7" s="25"/>
      <c r="C7" s="29"/>
      <c r="N7" s="27"/>
      <c r="O7" s="594"/>
      <c r="P7" s="593"/>
      <c r="Q7" s="593"/>
      <c r="R7" s="593"/>
      <c r="S7" s="593"/>
      <c r="T7" s="593"/>
      <c r="U7" s="593"/>
      <c r="V7" s="593"/>
      <c r="W7" s="593"/>
      <c r="X7" s="593"/>
      <c r="Y7" s="593"/>
      <c r="Z7" s="593"/>
      <c r="AA7" s="593"/>
      <c r="AB7" s="593"/>
      <c r="AC7" s="593"/>
    </row>
    <row r="8" spans="1:29" ht="28.5" customHeight="1" x14ac:dyDescent="0.3">
      <c r="A8" s="24" t="s">
        <v>172</v>
      </c>
      <c r="B8" s="25"/>
      <c r="C8" s="140">
        <f>'Calcul IR 2'!J3</f>
        <v>93155</v>
      </c>
      <c r="D8" s="598" t="s">
        <v>173</v>
      </c>
      <c r="E8" s="598"/>
      <c r="F8" s="598"/>
      <c r="G8" s="598"/>
      <c r="H8" s="598"/>
      <c r="I8" s="598"/>
      <c r="J8" s="598"/>
      <c r="K8" s="598"/>
      <c r="L8" s="598"/>
      <c r="M8" s="598"/>
      <c r="N8" s="598"/>
      <c r="O8" s="594"/>
      <c r="P8" s="593"/>
      <c r="Q8" s="593"/>
      <c r="R8" s="593"/>
      <c r="S8" s="593"/>
      <c r="T8" s="593"/>
      <c r="U8" s="593"/>
      <c r="V8" s="593"/>
      <c r="W8" s="593"/>
      <c r="X8" s="593"/>
      <c r="Y8" s="593"/>
      <c r="Z8" s="593"/>
      <c r="AA8" s="593"/>
      <c r="AB8" s="593"/>
      <c r="AC8" s="593"/>
    </row>
    <row r="9" spans="1:29" ht="28.5" customHeight="1" x14ac:dyDescent="0.3">
      <c r="A9" s="30"/>
      <c r="B9" s="25"/>
      <c r="C9" s="31"/>
      <c r="N9" s="27"/>
      <c r="O9" s="594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  <c r="AA9" s="593"/>
      <c r="AB9" s="593"/>
      <c r="AC9" s="593"/>
    </row>
    <row r="10" spans="1:29" ht="28.5" customHeight="1" x14ac:dyDescent="0.3">
      <c r="A10" s="32" t="s">
        <v>174</v>
      </c>
      <c r="B10" s="33"/>
      <c r="C10" s="34">
        <f>IF(C5=0,'Calcul IR 2'!O36,'Calcul IR 2'!O36+0.5)</f>
        <v>2</v>
      </c>
      <c r="N10" s="27"/>
      <c r="O10" s="594"/>
      <c r="P10" s="593"/>
      <c r="Q10" s="593"/>
      <c r="R10" s="593"/>
      <c r="S10" s="593"/>
      <c r="T10" s="593"/>
      <c r="U10" s="593"/>
      <c r="V10" s="593"/>
      <c r="W10" s="593"/>
      <c r="X10" s="593"/>
      <c r="Y10" s="593"/>
      <c r="Z10" s="593"/>
      <c r="AA10" s="593"/>
      <c r="AB10" s="593"/>
      <c r="AC10" s="593"/>
    </row>
    <row r="11" spans="1:29" ht="28.5" customHeight="1" x14ac:dyDescent="0.3">
      <c r="A11" s="30"/>
      <c r="B11" s="25"/>
      <c r="C11" s="31"/>
      <c r="N11" s="27"/>
      <c r="O11" s="594"/>
      <c r="P11" s="593"/>
      <c r="Q11" s="593"/>
      <c r="R11" s="593"/>
      <c r="S11" s="593"/>
      <c r="T11" s="593"/>
      <c r="U11" s="593"/>
      <c r="V11" s="593"/>
      <c r="W11" s="593"/>
      <c r="X11" s="593"/>
      <c r="Y11" s="593"/>
      <c r="Z11" s="593"/>
      <c r="AA11" s="593"/>
      <c r="AB11" s="593"/>
      <c r="AC11" s="593"/>
    </row>
    <row r="12" spans="1:29" ht="28.5" customHeight="1" x14ac:dyDescent="0.3">
      <c r="A12" s="35" t="s">
        <v>175</v>
      </c>
      <c r="B12" s="36"/>
      <c r="C12" s="128">
        <f>IF(OR(C3="Célibataire",C3="Divorcé",C3="Veuf",C3="Concubinage"),'Calcul IR 2'!I20,'Calcul IR 2'!I39)</f>
        <v>15790.18</v>
      </c>
      <c r="N12" s="27"/>
      <c r="O12" s="594"/>
      <c r="P12" s="593"/>
      <c r="Q12" s="593"/>
      <c r="R12" s="593"/>
      <c r="S12" s="593"/>
      <c r="T12" s="593"/>
      <c r="U12" s="593"/>
      <c r="V12" s="593"/>
      <c r="W12" s="593"/>
      <c r="X12" s="593"/>
      <c r="Y12" s="593"/>
      <c r="Z12" s="593"/>
      <c r="AA12" s="593"/>
      <c r="AB12" s="593"/>
      <c r="AC12" s="593"/>
    </row>
    <row r="13" spans="1:29" ht="28.5" customHeight="1" x14ac:dyDescent="0.3">
      <c r="A13" s="35" t="s">
        <v>157</v>
      </c>
      <c r="B13" s="36"/>
      <c r="C13" s="43">
        <f>IF(OR(C3="Célibataire",C3="Divorcé",C3="Veuf",C3="Concubinage"),'Calcul IR 2'!I21, 'Calcul IR 2'!I40)</f>
        <v>0</v>
      </c>
      <c r="D13" s="599" t="s">
        <v>176</v>
      </c>
      <c r="E13" s="599"/>
      <c r="F13" s="599"/>
      <c r="G13" s="599"/>
      <c r="H13" s="599"/>
      <c r="I13" s="599"/>
      <c r="J13" s="599"/>
      <c r="K13" s="599"/>
      <c r="L13" s="599"/>
      <c r="M13" s="599"/>
      <c r="N13" s="600"/>
      <c r="O13" s="594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</row>
    <row r="14" spans="1:29" ht="34.5" customHeight="1" x14ac:dyDescent="0.3">
      <c r="A14" s="37" t="s">
        <v>33</v>
      </c>
      <c r="B14" s="38"/>
      <c r="C14" s="39">
        <f>IF(OR(C3="Célibataire",C3="Divorcé",C3="Veuf",C3="Concubinage"),'Calcul IR 2'!I22, 'Calcul IR 2'!I41)</f>
        <v>15790.18</v>
      </c>
      <c r="D14" s="127">
        <f>IF((C14-'Etat Civil'!G33)&lt;=0,0-'Etat Civil'!G34,C14-'Etat Civil'!G33-'Etat Civil'!G34)</f>
        <v>15790.18</v>
      </c>
      <c r="N14" s="27"/>
      <c r="O14" s="594"/>
      <c r="P14" s="593"/>
      <c r="Q14" s="593"/>
      <c r="R14" s="593"/>
      <c r="S14" s="593"/>
      <c r="T14" s="593"/>
      <c r="U14" s="593"/>
      <c r="V14" s="593"/>
      <c r="W14" s="593"/>
      <c r="X14" s="593"/>
      <c r="Y14" s="593"/>
      <c r="Z14" s="593"/>
      <c r="AA14" s="593"/>
      <c r="AB14" s="593"/>
      <c r="AC14" s="593"/>
    </row>
    <row r="15" spans="1:29" x14ac:dyDescent="0.3">
      <c r="A15" s="601" t="s">
        <v>177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3"/>
      <c r="O15" s="594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</row>
    <row r="16" spans="1:29" x14ac:dyDescent="0.3">
      <c r="A16" s="23"/>
      <c r="N16" s="27"/>
      <c r="O16" s="594"/>
      <c r="P16" s="593"/>
      <c r="Q16" s="593"/>
      <c r="R16" s="593"/>
      <c r="S16" s="593"/>
      <c r="T16" s="593"/>
      <c r="U16" s="593"/>
      <c r="V16" s="593"/>
      <c r="W16" s="593"/>
      <c r="X16" s="593"/>
      <c r="Y16" s="593"/>
      <c r="Z16" s="593"/>
      <c r="AA16" s="593"/>
      <c r="AB16" s="593"/>
      <c r="AC16" s="593"/>
    </row>
    <row r="17" spans="1:29" hidden="1" x14ac:dyDescent="0.3">
      <c r="A17" s="23"/>
      <c r="N17" s="27"/>
      <c r="O17" s="594"/>
      <c r="P17" s="593"/>
      <c r="Q17" s="593"/>
      <c r="R17" s="593"/>
      <c r="S17" s="593"/>
      <c r="T17" s="593"/>
      <c r="U17" s="593"/>
      <c r="V17" s="593"/>
      <c r="W17" s="593"/>
      <c r="X17" s="593"/>
      <c r="Y17" s="593"/>
      <c r="Z17" s="593"/>
      <c r="AA17" s="593"/>
      <c r="AB17" s="593"/>
      <c r="AC17" s="593"/>
    </row>
    <row r="18" spans="1:29" ht="15" hidden="1" customHeight="1" x14ac:dyDescent="0.3">
      <c r="A18" s="23"/>
      <c r="N18" s="27"/>
      <c r="O18" s="594"/>
      <c r="P18" s="593"/>
      <c r="Q18" s="593"/>
      <c r="R18" s="593"/>
      <c r="S18" s="593"/>
      <c r="T18" s="593"/>
      <c r="U18" s="593"/>
      <c r="V18" s="593"/>
      <c r="W18" s="593"/>
      <c r="X18" s="593"/>
      <c r="Y18" s="593"/>
      <c r="Z18" s="593"/>
      <c r="AA18" s="593"/>
      <c r="AB18" s="593"/>
      <c r="AC18" s="593"/>
    </row>
    <row r="19" spans="1:29" ht="15" thickBot="1" x14ac:dyDescent="0.3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/>
      <c r="O19" s="594"/>
      <c r="P19" s="593"/>
      <c r="Q19" s="593"/>
      <c r="R19" s="593"/>
      <c r="S19" s="593"/>
      <c r="T19" s="593"/>
      <c r="U19" s="593"/>
      <c r="V19" s="593"/>
      <c r="W19" s="593"/>
      <c r="X19" s="593"/>
      <c r="Y19" s="593"/>
      <c r="Z19" s="593"/>
      <c r="AA19" s="593"/>
      <c r="AB19" s="593"/>
      <c r="AC19" s="593"/>
    </row>
  </sheetData>
  <sheetProtection algorithmName="SHA-512" hashValue="IHeyj+TJcOnKUTyQtIP7cRAmRjXPfmaO4cVo+aDUS3ynn3ttcE7f9NKaJASV0nQFGNGb1dX5P/BYWGQWKK6wuw==" saltValue="67qjARB3cTZE3/rYidXpy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32" sqref="A1:N42"/>
    </sheetView>
  </sheetViews>
  <sheetFormatPr baseColWidth="10" defaultColWidth="10.19921875" defaultRowHeight="14.4" x14ac:dyDescent="0.3"/>
  <cols>
    <col min="1" max="1" width="10.19921875" style="21"/>
    <col min="2" max="2" width="11.796875" style="21" bestFit="1" customWidth="1"/>
    <col min="3" max="3" width="12" style="21" bestFit="1" customWidth="1"/>
    <col min="4" max="4" width="10.19921875" style="21"/>
    <col min="5" max="5" width="11" style="21" bestFit="1" customWidth="1"/>
    <col min="6" max="6" width="11.796875" style="21" bestFit="1" customWidth="1"/>
    <col min="7" max="7" width="4.69921875" style="21" customWidth="1"/>
    <col min="8" max="8" width="26" style="21" customWidth="1"/>
    <col min="9" max="9" width="10.796875" style="21" bestFit="1" customWidth="1"/>
    <col min="10" max="10" width="11.7968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64" t="s">
        <v>178</v>
      </c>
      <c r="B1" s="565"/>
      <c r="C1" s="565"/>
      <c r="D1" s="565"/>
      <c r="E1" s="565"/>
      <c r="F1" s="565"/>
      <c r="G1" s="565"/>
      <c r="H1" s="565"/>
      <c r="I1" s="565"/>
      <c r="J1" s="566"/>
    </row>
    <row r="2" spans="1:15" ht="15" thickBot="1" x14ac:dyDescent="0.35">
      <c r="A2" s="573"/>
      <c r="B2" s="583"/>
      <c r="C2" s="583"/>
      <c r="D2" s="583"/>
      <c r="E2" s="583"/>
      <c r="F2" s="583"/>
      <c r="G2" s="583"/>
      <c r="H2" s="572"/>
      <c r="I2" s="572"/>
      <c r="J2" s="587"/>
    </row>
    <row r="3" spans="1:15" ht="15" thickBot="1" x14ac:dyDescent="0.35">
      <c r="A3" s="574"/>
      <c r="B3" s="567" t="s">
        <v>179</v>
      </c>
      <c r="C3" s="568"/>
      <c r="D3" s="568"/>
      <c r="E3" s="568"/>
      <c r="F3" s="569"/>
      <c r="G3" s="581"/>
      <c r="H3" s="73" t="s">
        <v>136</v>
      </c>
      <c r="I3" s="71"/>
      <c r="J3" s="141">
        <f>(('Etat Civil'!H8*'Prévision retraite'!B22)*0.9)+(('Etat Civil'!H14*'Prévision retraite'!B22)*0.9)+'Etat Civil'!H10*'Prévision retraite'!B22+'Etat Civil'!H16*'Prévision retraite'!B22+SUM('Prévision retraite'!F14:F17)*0.8</f>
        <v>46777.5</v>
      </c>
    </row>
    <row r="4" spans="1:15" ht="15" thickBot="1" x14ac:dyDescent="0.35">
      <c r="A4" s="574"/>
      <c r="B4" s="52"/>
      <c r="C4" s="53"/>
      <c r="D4" s="69"/>
      <c r="E4" s="53"/>
      <c r="F4" s="54"/>
      <c r="G4" s="581"/>
      <c r="H4" s="74" t="s">
        <v>180</v>
      </c>
      <c r="I4" s="72"/>
      <c r="J4" s="70">
        <f>'Prévision retraite'!C22</f>
        <v>2</v>
      </c>
      <c r="M4" s="21">
        <v>0</v>
      </c>
      <c r="O4" s="21" t="s">
        <v>138</v>
      </c>
    </row>
    <row r="5" spans="1:15" x14ac:dyDescent="0.3">
      <c r="A5" s="574"/>
      <c r="B5" s="55">
        <v>0</v>
      </c>
      <c r="C5" s="56">
        <v>10225</v>
      </c>
      <c r="D5" s="61">
        <f>0</f>
        <v>0</v>
      </c>
      <c r="E5" s="56">
        <f>0</f>
        <v>0</v>
      </c>
      <c r="F5" s="57"/>
      <c r="G5" s="581"/>
      <c r="H5" s="583"/>
      <c r="I5" s="583"/>
      <c r="J5" s="576"/>
      <c r="M5" s="21">
        <v>1</v>
      </c>
      <c r="O5" s="21" t="s">
        <v>139</v>
      </c>
    </row>
    <row r="6" spans="1:15" x14ac:dyDescent="0.3">
      <c r="A6" s="574"/>
      <c r="B6" s="55">
        <v>10226</v>
      </c>
      <c r="C6" s="56">
        <v>26070</v>
      </c>
      <c r="D6" s="61">
        <f>0.14</f>
        <v>0.14000000000000001</v>
      </c>
      <c r="E6" s="56">
        <f>(C6-B6)*D6</f>
        <v>2218.1600000000003</v>
      </c>
      <c r="F6" s="57"/>
      <c r="G6" s="581"/>
      <c r="H6" s="581"/>
      <c r="I6" s="581"/>
      <c r="J6" s="577"/>
      <c r="M6" s="21">
        <v>2</v>
      </c>
      <c r="O6" s="21" t="s">
        <v>140</v>
      </c>
    </row>
    <row r="7" spans="1:15" x14ac:dyDescent="0.3">
      <c r="A7" s="574"/>
      <c r="B7" s="55">
        <v>26071</v>
      </c>
      <c r="C7" s="56">
        <v>74545</v>
      </c>
      <c r="D7" s="61">
        <f>0.3</f>
        <v>0.3</v>
      </c>
      <c r="E7" s="56">
        <f>(C7-B7)*0.3</f>
        <v>14542.199999999999</v>
      </c>
      <c r="F7" s="57">
        <f>E7+E6</f>
        <v>16760.36</v>
      </c>
      <c r="G7" s="581"/>
      <c r="H7" s="581"/>
      <c r="I7" s="581"/>
      <c r="J7" s="577"/>
      <c r="M7" s="21">
        <v>3</v>
      </c>
    </row>
    <row r="8" spans="1:15" ht="15" thickBot="1" x14ac:dyDescent="0.35">
      <c r="A8" s="574"/>
      <c r="B8" s="55">
        <v>74546</v>
      </c>
      <c r="C8" s="56">
        <v>160336</v>
      </c>
      <c r="D8" s="61">
        <v>0.41</v>
      </c>
      <c r="E8" s="56">
        <f>(C8-B8)*D8</f>
        <v>35173.9</v>
      </c>
      <c r="F8" s="57">
        <f>SUM(E6:E8)</f>
        <v>51934.26</v>
      </c>
      <c r="G8" s="581"/>
      <c r="H8" s="581"/>
      <c r="I8" s="581"/>
      <c r="J8" s="577"/>
      <c r="M8" s="21">
        <v>4</v>
      </c>
    </row>
    <row r="9" spans="1:15" ht="15" thickBot="1" x14ac:dyDescent="0.35">
      <c r="A9" s="574"/>
      <c r="B9" s="58"/>
      <c r="C9" s="59"/>
      <c r="D9" s="62">
        <f>0.45</f>
        <v>0.45</v>
      </c>
      <c r="E9" s="59"/>
      <c r="F9" s="60"/>
      <c r="G9" s="581"/>
      <c r="H9" s="567"/>
      <c r="I9" s="569"/>
      <c r="J9" s="51"/>
      <c r="M9" s="21">
        <v>5</v>
      </c>
    </row>
    <row r="10" spans="1:15" x14ac:dyDescent="0.3">
      <c r="A10" s="574"/>
      <c r="B10" s="583"/>
      <c r="C10" s="583"/>
      <c r="D10" s="583"/>
      <c r="E10" s="583"/>
      <c r="F10" s="583"/>
      <c r="G10" s="581"/>
      <c r="H10" s="79" t="s">
        <v>181</v>
      </c>
      <c r="I10" s="75">
        <f>IF(J3&gt;=C8, (J3-C8)*D9+E8+E7+E6, IF(J3&gt;=C7, (J3-C7)*D8+E7+E6, IF(J3&gt;=C6, (J3-C6)*D7+E6, IF(J3&gt;=C5, (J3-C5)*D6, 0))))</f>
        <v>8430.41</v>
      </c>
      <c r="J10" s="51"/>
    </row>
    <row r="11" spans="1:15" x14ac:dyDescent="0.3">
      <c r="A11" s="574"/>
      <c r="B11" s="581" t="s">
        <v>182</v>
      </c>
      <c r="C11" s="581"/>
      <c r="D11" s="581"/>
      <c r="E11" s="581"/>
      <c r="F11" s="581"/>
      <c r="G11" s="581"/>
      <c r="H11" s="80" t="s">
        <v>183</v>
      </c>
      <c r="I11" s="76">
        <f>IF(J3&gt;=C28, (J3-C28)*D29+E28+E27+E26, IF(J3&gt;=C27, (J3-C27)*D28+E27+E26, IF(J3&gt;=C26, (J3-C26)*D27+E26, IF(J3&gt;=C25, (J3-C25)*D26, 0))))</f>
        <v>3685.8500000000004</v>
      </c>
      <c r="J11" s="51"/>
    </row>
    <row r="12" spans="1:15" x14ac:dyDescent="0.3">
      <c r="A12" s="574"/>
      <c r="B12" s="581"/>
      <c r="C12" s="581"/>
      <c r="D12" s="581"/>
      <c r="E12" s="581"/>
      <c r="F12" s="581"/>
      <c r="G12" s="581"/>
      <c r="H12" s="80"/>
      <c r="I12" s="77"/>
      <c r="J12" s="51"/>
    </row>
    <row r="13" spans="1:15" x14ac:dyDescent="0.3">
      <c r="A13" s="574"/>
      <c r="B13" s="581"/>
      <c r="C13" s="581"/>
      <c r="D13" s="581"/>
      <c r="E13" s="581"/>
      <c r="F13" s="581"/>
      <c r="G13" s="581"/>
      <c r="H13" s="80" t="s">
        <v>184</v>
      </c>
      <c r="I13" s="77">
        <f>IF('Impôt Retraite'!C5="Parent isolé (T)", 1,0)</f>
        <v>0</v>
      </c>
      <c r="J13" s="51"/>
    </row>
    <row r="14" spans="1:15" x14ac:dyDescent="0.3">
      <c r="A14" s="574"/>
      <c r="B14" s="581"/>
      <c r="C14" s="581"/>
      <c r="D14" s="581"/>
      <c r="E14" s="581"/>
      <c r="F14" s="581"/>
      <c r="G14" s="581"/>
      <c r="H14" s="80" t="s">
        <v>185</v>
      </c>
      <c r="I14" s="77">
        <f>IF('Impôt Retraite'!C5="Enfant élevé seul (L)", 1, 0)</f>
        <v>0</v>
      </c>
      <c r="J14" s="51"/>
    </row>
    <row r="15" spans="1:15" ht="15" thickBot="1" x14ac:dyDescent="0.35">
      <c r="A15" s="575"/>
      <c r="B15" s="582"/>
      <c r="C15" s="582"/>
      <c r="D15" s="582"/>
      <c r="E15" s="582"/>
      <c r="F15" s="582"/>
      <c r="G15" s="581"/>
      <c r="H15" s="80" t="s">
        <v>164</v>
      </c>
      <c r="I15" s="77">
        <f>IF('Impôt Retraite'!C5="Invalidité", 1,0)</f>
        <v>0</v>
      </c>
      <c r="J15" s="51"/>
    </row>
    <row r="16" spans="1:15" ht="16.2" thickBot="1" x14ac:dyDescent="0.35">
      <c r="A16" s="584"/>
      <c r="B16" s="585"/>
      <c r="C16" s="585"/>
      <c r="D16" s="585"/>
      <c r="E16" s="585"/>
      <c r="F16" s="586"/>
      <c r="G16" s="581"/>
      <c r="H16" s="80" t="s">
        <v>186</v>
      </c>
      <c r="I16" s="77">
        <f>IF('Impôt Retraite'!C5=0, (J4-1)*2, (J4-1)*2-1)</f>
        <v>2</v>
      </c>
      <c r="J16" s="51"/>
    </row>
    <row r="17" spans="1:17" x14ac:dyDescent="0.3">
      <c r="A17" s="95">
        <v>1592</v>
      </c>
      <c r="B17" s="44" t="s">
        <v>187</v>
      </c>
      <c r="C17" s="44"/>
      <c r="D17" s="44"/>
      <c r="E17" s="44"/>
      <c r="F17" s="45"/>
      <c r="G17" s="581"/>
      <c r="H17" s="80" t="s">
        <v>150</v>
      </c>
      <c r="I17" s="76">
        <f>I10-A17*I16-I13*A19-I14*A18-I15*A20</f>
        <v>5246.41</v>
      </c>
      <c r="J17" s="51"/>
      <c r="O17" s="21" t="s">
        <v>151</v>
      </c>
      <c r="P17" s="21">
        <v>0</v>
      </c>
      <c r="Q17" s="21">
        <v>1</v>
      </c>
    </row>
    <row r="18" spans="1:17" x14ac:dyDescent="0.3">
      <c r="A18" s="96">
        <v>936</v>
      </c>
      <c r="B18" s="46" t="s">
        <v>152</v>
      </c>
      <c r="C18" s="46"/>
      <c r="D18" s="46"/>
      <c r="E18" s="46"/>
      <c r="F18" s="47"/>
      <c r="G18" s="581"/>
      <c r="H18" s="80"/>
      <c r="I18" s="77"/>
      <c r="J18" s="51"/>
      <c r="P18" s="21">
        <v>1</v>
      </c>
      <c r="Q18" s="21">
        <v>1.5</v>
      </c>
    </row>
    <row r="19" spans="1:17" x14ac:dyDescent="0.3">
      <c r="A19" s="96">
        <f>3697-1567</f>
        <v>2130</v>
      </c>
      <c r="B19" s="46" t="s">
        <v>188</v>
      </c>
      <c r="C19" s="46"/>
      <c r="D19" s="46"/>
      <c r="E19" s="46"/>
      <c r="F19" s="47"/>
      <c r="G19" s="581"/>
      <c r="H19" s="80"/>
      <c r="I19" s="77"/>
      <c r="J19" s="51"/>
      <c r="P19" s="21">
        <v>2</v>
      </c>
      <c r="Q19" s="21">
        <v>2</v>
      </c>
    </row>
    <row r="20" spans="1:17" x14ac:dyDescent="0.3">
      <c r="A20" s="96">
        <v>3129</v>
      </c>
      <c r="B20" s="46" t="s">
        <v>189</v>
      </c>
      <c r="C20" s="46"/>
      <c r="D20" s="46"/>
      <c r="E20" s="46"/>
      <c r="F20" s="47"/>
      <c r="G20" s="581"/>
      <c r="H20" s="80" t="s">
        <v>155</v>
      </c>
      <c r="I20" s="76">
        <f>IF(I11&gt;I17, I11, I17)</f>
        <v>5246.41</v>
      </c>
      <c r="J20" s="51"/>
      <c r="P20" s="21">
        <v>3</v>
      </c>
      <c r="Q20" s="21">
        <v>3</v>
      </c>
    </row>
    <row r="21" spans="1:17" ht="15" thickBot="1" x14ac:dyDescent="0.35">
      <c r="A21" s="48"/>
      <c r="B21" s="49" t="s">
        <v>190</v>
      </c>
      <c r="C21" s="49"/>
      <c r="D21" s="49"/>
      <c r="E21" s="49"/>
      <c r="F21" s="50"/>
      <c r="G21" s="581"/>
      <c r="H21" s="80" t="s">
        <v>157</v>
      </c>
      <c r="I21" s="77">
        <f>IF(I20&lt;=1611, (1611*0.75-I20*0.75), 0)</f>
        <v>0</v>
      </c>
      <c r="J21" s="51"/>
      <c r="P21" s="21">
        <v>4</v>
      </c>
      <c r="Q21" s="21">
        <v>4</v>
      </c>
    </row>
    <row r="22" spans="1:17" ht="15" thickBot="1" x14ac:dyDescent="0.35">
      <c r="A22" s="573"/>
      <c r="B22" s="583"/>
      <c r="C22" s="583"/>
      <c r="D22" s="583"/>
      <c r="E22" s="583"/>
      <c r="F22" s="583"/>
      <c r="G22" s="581"/>
      <c r="H22" s="81" t="s">
        <v>158</v>
      </c>
      <c r="I22" s="78">
        <f>IF(I21&gt;I20, 0, I20-I21)</f>
        <v>5246.41</v>
      </c>
      <c r="J22" s="51"/>
    </row>
    <row r="23" spans="1:17" ht="15" thickBot="1" x14ac:dyDescent="0.35">
      <c r="A23" s="580"/>
      <c r="B23" s="567" t="s">
        <v>159</v>
      </c>
      <c r="C23" s="568"/>
      <c r="D23" s="568"/>
      <c r="E23" s="568"/>
      <c r="F23" s="569"/>
      <c r="G23" s="581"/>
      <c r="H23" s="581"/>
      <c r="I23" s="581"/>
      <c r="J23" s="577"/>
      <c r="O23" s="21" t="s">
        <v>18</v>
      </c>
      <c r="P23" s="21">
        <v>0</v>
      </c>
      <c r="Q23" s="21">
        <v>2</v>
      </c>
    </row>
    <row r="24" spans="1:17" x14ac:dyDescent="0.3">
      <c r="A24" s="580"/>
      <c r="B24" s="52"/>
      <c r="C24" s="53"/>
      <c r="D24" s="53"/>
      <c r="E24" s="53"/>
      <c r="F24" s="54"/>
      <c r="G24" s="581"/>
      <c r="H24" s="581"/>
      <c r="I24" s="581"/>
      <c r="J24" s="577"/>
      <c r="P24" s="21">
        <v>1</v>
      </c>
      <c r="Q24" s="21">
        <v>2.5</v>
      </c>
    </row>
    <row r="25" spans="1:17" x14ac:dyDescent="0.3">
      <c r="A25" s="580"/>
      <c r="B25" s="55">
        <v>0</v>
      </c>
      <c r="C25" s="56">
        <f>C5*$J$4</f>
        <v>20450</v>
      </c>
      <c r="D25" s="61">
        <f>0</f>
        <v>0</v>
      </c>
      <c r="E25" s="56">
        <f>0</f>
        <v>0</v>
      </c>
      <c r="F25" s="57"/>
      <c r="G25" s="581"/>
      <c r="H25" s="581"/>
      <c r="I25" s="581"/>
      <c r="J25" s="577"/>
      <c r="P25" s="21">
        <v>2</v>
      </c>
      <c r="Q25" s="21">
        <v>3</v>
      </c>
    </row>
    <row r="26" spans="1:17" x14ac:dyDescent="0.3">
      <c r="A26" s="580"/>
      <c r="B26" s="55">
        <f>B6*$J$4</f>
        <v>20452</v>
      </c>
      <c r="C26" s="56">
        <f>C6*$J$4</f>
        <v>52140</v>
      </c>
      <c r="D26" s="61">
        <f>0.14</f>
        <v>0.14000000000000001</v>
      </c>
      <c r="E26" s="56">
        <f>(C26-B26)*D26</f>
        <v>4436.3200000000006</v>
      </c>
      <c r="F26" s="57"/>
      <c r="G26" s="581"/>
      <c r="H26" s="581"/>
      <c r="I26" s="581"/>
      <c r="J26" s="577"/>
      <c r="P26" s="21">
        <v>3</v>
      </c>
      <c r="Q26" s="21">
        <v>4</v>
      </c>
    </row>
    <row r="27" spans="1:17" x14ac:dyDescent="0.3">
      <c r="A27" s="580"/>
      <c r="B27" s="55">
        <f>B7*$J$4</f>
        <v>52142</v>
      </c>
      <c r="C27" s="56">
        <f>C7*$J$4</f>
        <v>149090</v>
      </c>
      <c r="D27" s="61">
        <f>0.3</f>
        <v>0.3</v>
      </c>
      <c r="E27" s="56">
        <f>(C27-B27)*0.3</f>
        <v>29084.399999999998</v>
      </c>
      <c r="F27" s="57">
        <f>E27+E26</f>
        <v>33520.720000000001</v>
      </c>
      <c r="G27" s="581"/>
      <c r="H27" s="581"/>
      <c r="I27" s="581"/>
      <c r="J27" s="577"/>
      <c r="P27" s="21">
        <v>4</v>
      </c>
      <c r="Q27" s="21">
        <v>5</v>
      </c>
    </row>
    <row r="28" spans="1:17" x14ac:dyDescent="0.3">
      <c r="A28" s="580"/>
      <c r="B28" s="55">
        <f>B8*$J$4</f>
        <v>149092</v>
      </c>
      <c r="C28" s="56">
        <f>C8*$J$4</f>
        <v>320672</v>
      </c>
      <c r="D28" s="61">
        <v>0.41</v>
      </c>
      <c r="E28" s="56">
        <f>(C28-B28)*D28</f>
        <v>70347.8</v>
      </c>
      <c r="F28" s="57">
        <f>SUM(E26:E28)</f>
        <v>103868.52</v>
      </c>
      <c r="G28" s="581"/>
      <c r="H28" s="581"/>
      <c r="I28" s="581"/>
      <c r="J28" s="577"/>
    </row>
    <row r="29" spans="1:17" ht="15" thickBot="1" x14ac:dyDescent="0.35">
      <c r="A29" s="588"/>
      <c r="B29" s="58"/>
      <c r="C29" s="59"/>
      <c r="D29" s="62">
        <f>0.45</f>
        <v>0.45</v>
      </c>
      <c r="E29" s="59"/>
      <c r="F29" s="60"/>
      <c r="G29" s="582"/>
      <c r="H29" s="582"/>
      <c r="I29" s="582"/>
      <c r="J29" s="578"/>
    </row>
    <row r="30" spans="1:17" ht="15" thickBot="1" x14ac:dyDescent="0.35">
      <c r="A30" s="572"/>
      <c r="B30" s="572"/>
      <c r="C30" s="572"/>
      <c r="D30" s="572"/>
      <c r="E30" s="572"/>
      <c r="F30" s="572"/>
      <c r="G30" s="572"/>
      <c r="H30" s="572"/>
      <c r="I30" s="572"/>
      <c r="J30" s="572"/>
      <c r="O30" s="21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Civil'!C22="Alternée",IF('Etat Civil'!G35=1,0.25,IF('Etat Civil'!G35=2,0.5,IF('Etat Civil'!G35=3,1,IF('Etat Civil'!G35=4,1.5,2)))),0)</f>
        <v>2</v>
      </c>
    </row>
    <row r="31" spans="1:17" ht="15" thickBot="1" x14ac:dyDescent="0.35">
      <c r="A31" s="564" t="s">
        <v>160</v>
      </c>
      <c r="B31" s="570"/>
      <c r="C31" s="570"/>
      <c r="D31" s="570"/>
      <c r="E31" s="570"/>
      <c r="F31" s="570"/>
      <c r="G31" s="565"/>
      <c r="H31" s="565"/>
      <c r="I31" s="565"/>
      <c r="J31" s="566"/>
    </row>
    <row r="32" spans="1:17" ht="15" thickBot="1" x14ac:dyDescent="0.35">
      <c r="A32" s="573"/>
      <c r="B32" s="567"/>
      <c r="C32" s="568"/>
      <c r="D32" s="571"/>
      <c r="E32" s="63"/>
      <c r="F32" s="64"/>
      <c r="G32" s="579"/>
      <c r="H32" s="567"/>
      <c r="I32" s="569"/>
      <c r="J32" s="576"/>
    </row>
    <row r="33" spans="1:19" x14ac:dyDescent="0.3">
      <c r="A33" s="574"/>
      <c r="B33" s="65">
        <f>B5*2</f>
        <v>0</v>
      </c>
      <c r="C33" s="66">
        <f>C5*2</f>
        <v>20450</v>
      </c>
      <c r="D33" s="68">
        <v>0</v>
      </c>
      <c r="E33" s="66">
        <v>0</v>
      </c>
      <c r="F33" s="67"/>
      <c r="G33" s="580"/>
      <c r="H33" s="82" t="s">
        <v>191</v>
      </c>
      <c r="I33" s="85">
        <f>IF(J3&gt;=C37, (J3-C37)*D38+E37+E36+E34, IF(J3&gt;=C36, (J3-C36)*D37+E36+E34, IF(J3&gt;=C34, (J3-C34)*D36+E34, IF(J3&gt;=C33, (J3-C33)*D34, 0))))</f>
        <v>3685.8500000000004</v>
      </c>
      <c r="J33" s="577"/>
    </row>
    <row r="34" spans="1:19" x14ac:dyDescent="0.3">
      <c r="A34" s="574"/>
      <c r="B34" s="55">
        <f t="shared" ref="B34:C34" si="0">B6*2</f>
        <v>20452</v>
      </c>
      <c r="C34" s="56">
        <f t="shared" si="0"/>
        <v>52140</v>
      </c>
      <c r="D34" s="61">
        <v>0.14000000000000001</v>
      </c>
      <c r="E34" s="56">
        <f>(C34-B34)*D34</f>
        <v>4436.3200000000006</v>
      </c>
      <c r="F34" s="57"/>
      <c r="G34" s="580"/>
      <c r="H34" s="83" t="s">
        <v>183</v>
      </c>
      <c r="I34" s="86">
        <f>IF(J3&gt;=C28, (J3-C28)*D29+E28+E27+E26, IF(J3&gt;=C27, (J3-C27)*D28+E27+E26, IF(J3&gt;=C26, (J3-C26)*D27+E26, IF(J3&gt;=C25, (J3-C25)*D26, 0))))</f>
        <v>3685.8500000000004</v>
      </c>
      <c r="J34" s="577"/>
      <c r="O34" s="21">
        <f>1196*1.01</f>
        <v>1207.96</v>
      </c>
    </row>
    <row r="35" spans="1:19" x14ac:dyDescent="0.3">
      <c r="A35" s="574"/>
      <c r="B35" s="55"/>
      <c r="C35" s="56"/>
      <c r="D35" s="61"/>
      <c r="E35" s="56"/>
      <c r="F35" s="57"/>
      <c r="G35" s="580"/>
      <c r="H35" s="83" t="s">
        <v>164</v>
      </c>
      <c r="I35" s="87">
        <f>IF('Impôt Retraite'!C5="Invalidité", 1,0)</f>
        <v>0</v>
      </c>
      <c r="J35" s="577"/>
      <c r="O35" s="21">
        <f>1970*(1+O36)</f>
        <v>1989.7</v>
      </c>
      <c r="R35" s="21">
        <f>1208-0.75*1000</f>
        <v>458</v>
      </c>
      <c r="S35" s="21">
        <v>1611</v>
      </c>
    </row>
    <row r="36" spans="1:19" x14ac:dyDescent="0.3">
      <c r="A36" s="574"/>
      <c r="B36" s="55">
        <f>B7*2</f>
        <v>52142</v>
      </c>
      <c r="C36" s="56">
        <f>C7*2</f>
        <v>149090</v>
      </c>
      <c r="D36" s="61">
        <v>0.3</v>
      </c>
      <c r="E36" s="56">
        <f>(C36-B36)*D36</f>
        <v>29084.399999999998</v>
      </c>
      <c r="F36" s="57">
        <f>E34+E36</f>
        <v>33520.720000000001</v>
      </c>
      <c r="G36" s="580"/>
      <c r="H36" s="83" t="s">
        <v>192</v>
      </c>
      <c r="I36" s="87">
        <f>MAX(0,IF('Impôt Retraite'!C5=0, (J4-2)*2, (J4-2)*2-1))</f>
        <v>0</v>
      </c>
      <c r="J36" s="577"/>
      <c r="O36" s="21">
        <v>0.01</v>
      </c>
      <c r="S36" s="21">
        <v>2653</v>
      </c>
    </row>
    <row r="37" spans="1:19" x14ac:dyDescent="0.3">
      <c r="A37" s="574"/>
      <c r="B37" s="55">
        <f>B8*2</f>
        <v>149092</v>
      </c>
      <c r="C37" s="56">
        <f>C8*2</f>
        <v>320672</v>
      </c>
      <c r="D37" s="61">
        <v>0.41</v>
      </c>
      <c r="E37" s="56">
        <f>(C37-B37)*D37</f>
        <v>70347.8</v>
      </c>
      <c r="F37" s="57">
        <f>E34+E36+E37</f>
        <v>103868.52</v>
      </c>
      <c r="G37" s="580"/>
      <c r="H37" s="83" t="s">
        <v>150</v>
      </c>
      <c r="I37" s="86">
        <f>I33-A17*I36-I35*A20</f>
        <v>3685.8500000000004</v>
      </c>
      <c r="J37" s="577"/>
    </row>
    <row r="38" spans="1:19" ht="15" thickBot="1" x14ac:dyDescent="0.35">
      <c r="A38" s="574"/>
      <c r="B38" s="58"/>
      <c r="C38" s="59"/>
      <c r="D38" s="62">
        <v>0.45</v>
      </c>
      <c r="E38" s="59"/>
      <c r="F38" s="60"/>
      <c r="G38" s="580"/>
      <c r="H38" s="83"/>
      <c r="I38" s="87"/>
      <c r="J38" s="577"/>
    </row>
    <row r="39" spans="1:19" x14ac:dyDescent="0.3">
      <c r="A39" s="574"/>
      <c r="B39" s="581"/>
      <c r="C39" s="581"/>
      <c r="D39" s="581"/>
      <c r="E39" s="581"/>
      <c r="F39" s="581"/>
      <c r="G39" s="581"/>
      <c r="H39" s="83" t="s">
        <v>155</v>
      </c>
      <c r="I39" s="86">
        <f>IF(I34&gt;I37, I34, I37)</f>
        <v>3685.8500000000004</v>
      </c>
      <c r="J39" s="577"/>
    </row>
    <row r="40" spans="1:19" x14ac:dyDescent="0.3">
      <c r="A40" s="574"/>
      <c r="B40" s="581"/>
      <c r="C40" s="581"/>
      <c r="D40" s="581"/>
      <c r="E40" s="581"/>
      <c r="F40" s="581"/>
      <c r="G40" s="581"/>
      <c r="H40" s="83" t="s">
        <v>157</v>
      </c>
      <c r="I40" s="88">
        <f>IF(I39&lt;=2653, 2653*0.75-I39*0.75, 0)</f>
        <v>0</v>
      </c>
      <c r="J40" s="577"/>
    </row>
    <row r="41" spans="1:19" ht="15" thickBot="1" x14ac:dyDescent="0.35">
      <c r="A41" s="574"/>
      <c r="B41" s="581"/>
      <c r="C41" s="581"/>
      <c r="D41" s="581"/>
      <c r="E41" s="581"/>
      <c r="F41" s="581"/>
      <c r="G41" s="581"/>
      <c r="H41" s="84" t="s">
        <v>158</v>
      </c>
      <c r="I41" s="89">
        <f>IF(I40&gt;I39, 0, I39-I40)</f>
        <v>3685.8500000000004</v>
      </c>
      <c r="J41" s="577"/>
    </row>
  </sheetData>
  <sheetProtection algorithmName="SHA-512" hashValue="yp90A5Jo74xesy6X8QcSTLusfNlM72wI7NtpA+hGfByB+FWiA64IPfgy8soKbz+d/I+eJ7JZG+ghU9M/Vu1juQ==" saltValue="KaN0iZYXlss7kJtrZqWKLg==" spinCount="100000" sheet="1" objects="1" scenarios="1" selectLockedCells="1" selectUnlockedCells="1"/>
  <mergeCells count="22">
    <mergeCell ref="A32:A41"/>
    <mergeCell ref="B32:D32"/>
    <mergeCell ref="G32:G38"/>
    <mergeCell ref="H32:I32"/>
    <mergeCell ref="J32:J41"/>
    <mergeCell ref="B39:G41"/>
    <mergeCell ref="A1:J1"/>
    <mergeCell ref="B3:F3"/>
    <mergeCell ref="B23:F23"/>
    <mergeCell ref="A31:J31"/>
    <mergeCell ref="A2:F2"/>
    <mergeCell ref="G2:G29"/>
    <mergeCell ref="H2:J2"/>
    <mergeCell ref="A3:A15"/>
    <mergeCell ref="H5:J8"/>
    <mergeCell ref="H9:I9"/>
    <mergeCell ref="B10:F15"/>
    <mergeCell ref="A16:F16"/>
    <mergeCell ref="A22:F22"/>
    <mergeCell ref="A23:A29"/>
    <mergeCell ref="H23:J29"/>
    <mergeCell ref="A30:J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J32" sqref="A1:N42"/>
    </sheetView>
  </sheetViews>
  <sheetFormatPr baseColWidth="10" defaultColWidth="10.19921875" defaultRowHeight="14.4" x14ac:dyDescent="0.3"/>
  <cols>
    <col min="1" max="1" width="10.19921875" style="22"/>
    <col min="2" max="2" width="20.296875" style="22" customWidth="1"/>
    <col min="3" max="3" width="26.19921875" style="22" customWidth="1"/>
    <col min="4" max="4" width="15.69921875" style="22" bestFit="1" customWidth="1"/>
    <col min="5" max="16384" width="10.19921875" style="22"/>
  </cols>
  <sheetData>
    <row r="1" spans="1:29" ht="28.8" x14ac:dyDescent="0.55000000000000004">
      <c r="A1" s="589" t="s">
        <v>166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1"/>
      <c r="O1" s="592" t="s">
        <v>167</v>
      </c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</row>
    <row r="2" spans="1:29" ht="15.6" x14ac:dyDescent="0.3">
      <c r="A2" s="23"/>
      <c r="K2" s="595" t="s">
        <v>168</v>
      </c>
      <c r="L2" s="595"/>
      <c r="M2" s="595"/>
      <c r="N2" s="596"/>
      <c r="O2" s="594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</row>
    <row r="3" spans="1:29" ht="28.5" customHeight="1" x14ac:dyDescent="0.3">
      <c r="A3" s="24" t="s">
        <v>169</v>
      </c>
      <c r="B3" s="25"/>
      <c r="C3" s="26" t="str">
        <f>'Etat Civil'!C19</f>
        <v>Marié</v>
      </c>
      <c r="N3" s="27"/>
      <c r="O3" s="594"/>
      <c r="P3" s="593"/>
      <c r="Q3" s="593"/>
      <c r="R3" s="593"/>
      <c r="S3" s="593"/>
      <c r="T3" s="593"/>
      <c r="U3" s="593"/>
      <c r="V3" s="593"/>
      <c r="W3" s="593"/>
      <c r="X3" s="593"/>
      <c r="Y3" s="593"/>
      <c r="Z3" s="593"/>
      <c r="AA3" s="593"/>
      <c r="AB3" s="593"/>
      <c r="AC3" s="593"/>
    </row>
    <row r="4" spans="1:29" ht="28.5" customHeight="1" x14ac:dyDescent="0.3">
      <c r="A4" s="24" t="s">
        <v>170</v>
      </c>
      <c r="B4" s="25"/>
      <c r="C4" s="26">
        <v>0</v>
      </c>
      <c r="N4" s="27"/>
      <c r="O4" s="594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</row>
    <row r="5" spans="1:29" ht="28.5" customHeight="1" x14ac:dyDescent="0.3">
      <c r="A5" s="24" t="s">
        <v>23</v>
      </c>
      <c r="B5" s="25"/>
      <c r="C5" s="28">
        <f>IF('Etat Civil'!C21="Parent isolé (T)",0,'Etat Civil'!C21)</f>
        <v>0</v>
      </c>
      <c r="D5" s="597" t="s">
        <v>171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4"/>
      <c r="P5" s="593"/>
      <c r="Q5" s="593"/>
      <c r="R5" s="593"/>
      <c r="S5" s="593"/>
      <c r="T5" s="593"/>
      <c r="U5" s="593"/>
      <c r="V5" s="593"/>
      <c r="W5" s="593"/>
      <c r="X5" s="593"/>
      <c r="Y5" s="593"/>
      <c r="Z5" s="593"/>
      <c r="AA5" s="593"/>
      <c r="AB5" s="593"/>
      <c r="AC5" s="593"/>
    </row>
    <row r="6" spans="1:29" ht="28.5" customHeight="1" x14ac:dyDescent="0.3">
      <c r="A6" s="24"/>
      <c r="B6" s="25"/>
      <c r="C6" s="29"/>
      <c r="N6" s="27"/>
      <c r="O6" s="594"/>
      <c r="P6" s="593"/>
      <c r="Q6" s="593"/>
      <c r="R6" s="593"/>
      <c r="S6" s="593"/>
      <c r="T6" s="593"/>
      <c r="U6" s="593"/>
      <c r="V6" s="593"/>
      <c r="W6" s="593"/>
      <c r="X6" s="593"/>
      <c r="Y6" s="593"/>
      <c r="Z6" s="593"/>
      <c r="AA6" s="593"/>
      <c r="AB6" s="593"/>
      <c r="AC6" s="593"/>
    </row>
    <row r="7" spans="1:29" ht="28.5" hidden="1" customHeight="1" x14ac:dyDescent="0.3">
      <c r="A7" s="24"/>
      <c r="B7" s="25"/>
      <c r="C7" s="29"/>
      <c r="N7" s="27"/>
      <c r="O7" s="594"/>
      <c r="P7" s="593"/>
      <c r="Q7" s="593"/>
      <c r="R7" s="593"/>
      <c r="S7" s="593"/>
      <c r="T7" s="593"/>
      <c r="U7" s="593"/>
      <c r="V7" s="593"/>
      <c r="W7" s="593"/>
      <c r="X7" s="593"/>
      <c r="Y7" s="593"/>
      <c r="Z7" s="593"/>
      <c r="AA7" s="593"/>
      <c r="AB7" s="593"/>
      <c r="AC7" s="593"/>
    </row>
    <row r="8" spans="1:29" ht="28.5" customHeight="1" x14ac:dyDescent="0.3">
      <c r="A8" s="24" t="s">
        <v>172</v>
      </c>
      <c r="B8" s="25"/>
      <c r="C8" s="140">
        <f>'Calcul IR Bis Retraite'!J3</f>
        <v>46777.5</v>
      </c>
      <c r="D8" s="598" t="s">
        <v>173</v>
      </c>
      <c r="E8" s="598"/>
      <c r="F8" s="598"/>
      <c r="G8" s="598"/>
      <c r="H8" s="598"/>
      <c r="I8" s="598"/>
      <c r="J8" s="598"/>
      <c r="K8" s="598"/>
      <c r="L8" s="598"/>
      <c r="M8" s="598"/>
      <c r="N8" s="598"/>
      <c r="O8" s="594"/>
      <c r="P8" s="593"/>
      <c r="Q8" s="593"/>
      <c r="R8" s="593"/>
      <c r="S8" s="593"/>
      <c r="T8" s="593"/>
      <c r="U8" s="593"/>
      <c r="V8" s="593"/>
      <c r="W8" s="593"/>
      <c r="X8" s="593"/>
      <c r="Y8" s="593"/>
      <c r="Z8" s="593"/>
      <c r="AA8" s="593"/>
      <c r="AB8" s="593"/>
      <c r="AC8" s="593"/>
    </row>
    <row r="9" spans="1:29" ht="28.5" customHeight="1" x14ac:dyDescent="0.3">
      <c r="A9" s="30"/>
      <c r="B9" s="25"/>
      <c r="C9" s="31"/>
      <c r="N9" s="27"/>
      <c r="O9" s="594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  <c r="AA9" s="593"/>
      <c r="AB9" s="593"/>
      <c r="AC9" s="593"/>
    </row>
    <row r="10" spans="1:29" ht="28.5" customHeight="1" x14ac:dyDescent="0.3">
      <c r="A10" s="32" t="s">
        <v>174</v>
      </c>
      <c r="B10" s="33"/>
      <c r="C10" s="34">
        <f>IF(C5=0,'Calcul IR Bis Retraite'!O30,'Calcul IR Bis Retraite'!O30+0.5)</f>
        <v>2</v>
      </c>
      <c r="N10" s="27"/>
      <c r="O10" s="594"/>
      <c r="P10" s="593"/>
      <c r="Q10" s="593"/>
      <c r="R10" s="593"/>
      <c r="S10" s="593"/>
      <c r="T10" s="593"/>
      <c r="U10" s="593"/>
      <c r="V10" s="593"/>
      <c r="W10" s="593"/>
      <c r="X10" s="593"/>
      <c r="Y10" s="593"/>
      <c r="Z10" s="593"/>
      <c r="AA10" s="593"/>
      <c r="AB10" s="593"/>
      <c r="AC10" s="593"/>
    </row>
    <row r="11" spans="1:29" ht="28.5" customHeight="1" x14ac:dyDescent="0.3">
      <c r="A11" s="30"/>
      <c r="B11" s="25"/>
      <c r="C11" s="31"/>
      <c r="N11" s="27"/>
      <c r="O11" s="594"/>
      <c r="P11" s="593"/>
      <c r="Q11" s="593"/>
      <c r="R11" s="593"/>
      <c r="S11" s="593"/>
      <c r="T11" s="593"/>
      <c r="U11" s="593"/>
      <c r="V11" s="593"/>
      <c r="W11" s="593"/>
      <c r="X11" s="593"/>
      <c r="Y11" s="593"/>
      <c r="Z11" s="593"/>
      <c r="AA11" s="593"/>
      <c r="AB11" s="593"/>
      <c r="AC11" s="593"/>
    </row>
    <row r="12" spans="1:29" ht="28.5" customHeight="1" x14ac:dyDescent="0.3">
      <c r="A12" s="35" t="s">
        <v>175</v>
      </c>
      <c r="B12" s="36"/>
      <c r="C12" s="128">
        <f>IF(OR(C3="Célibataire",C3="Divorcé",C3="Veuf",C3="Concubinage"),'Calcul IR Bis Retraite'!I20, 'Calcul IR Bis Retraite'!I39)</f>
        <v>3685.8500000000004</v>
      </c>
      <c r="N12" s="27"/>
      <c r="O12" s="594"/>
      <c r="P12" s="593"/>
      <c r="Q12" s="593"/>
      <c r="R12" s="593"/>
      <c r="S12" s="593"/>
      <c r="T12" s="593"/>
      <c r="U12" s="593"/>
      <c r="V12" s="593"/>
      <c r="W12" s="593"/>
      <c r="X12" s="593"/>
      <c r="Y12" s="593"/>
      <c r="Z12" s="593"/>
      <c r="AA12" s="593"/>
      <c r="AB12" s="593"/>
      <c r="AC12" s="593"/>
    </row>
    <row r="13" spans="1:29" ht="28.5" customHeight="1" x14ac:dyDescent="0.3">
      <c r="A13" s="35" t="s">
        <v>157</v>
      </c>
      <c r="B13" s="36"/>
      <c r="C13" s="43">
        <f>IF(OR(C3="Célibataire",C3="Divorcé",C3="Veuf",C3="Concubinage"),'Calcul IR Bis Retraite'!I21, 'Calcul IR Bis Retraite'!I40)</f>
        <v>0</v>
      </c>
      <c r="D13" s="599" t="s">
        <v>193</v>
      </c>
      <c r="E13" s="599"/>
      <c r="F13" s="599"/>
      <c r="G13" s="599"/>
      <c r="H13" s="599"/>
      <c r="I13" s="599"/>
      <c r="J13" s="599"/>
      <c r="K13" s="599"/>
      <c r="L13" s="599"/>
      <c r="M13" s="599"/>
      <c r="N13" s="600"/>
      <c r="O13" s="594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</row>
    <row r="14" spans="1:29" ht="34.5" customHeight="1" x14ac:dyDescent="0.3">
      <c r="A14" s="37" t="s">
        <v>33</v>
      </c>
      <c r="B14" s="38"/>
      <c r="C14" s="39">
        <f>IF(OR(C3="Célibataire",C3="Divorcé",C3="Veuf",C3="Concubinage"),'Calcul IR Bis Retraite'!I22, 'Calcul IR Bis Retraite'!I41)</f>
        <v>3685.8500000000004</v>
      </c>
      <c r="D14" s="129">
        <f>C14</f>
        <v>3685.8500000000004</v>
      </c>
      <c r="N14" s="27"/>
      <c r="O14" s="594"/>
      <c r="P14" s="593"/>
      <c r="Q14" s="593"/>
      <c r="R14" s="593"/>
      <c r="S14" s="593"/>
      <c r="T14" s="593"/>
      <c r="U14" s="593"/>
      <c r="V14" s="593"/>
      <c r="W14" s="593"/>
      <c r="X14" s="593"/>
      <c r="Y14" s="593"/>
      <c r="Z14" s="593"/>
      <c r="AA14" s="593"/>
      <c r="AB14" s="593"/>
      <c r="AC14" s="593"/>
    </row>
    <row r="15" spans="1:29" x14ac:dyDescent="0.3">
      <c r="A15" s="601" t="s">
        <v>177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3"/>
      <c r="O15" s="594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</row>
    <row r="16" spans="1:29" x14ac:dyDescent="0.3">
      <c r="A16" s="23"/>
      <c r="N16" s="27"/>
      <c r="O16" s="594"/>
      <c r="P16" s="593"/>
      <c r="Q16" s="593"/>
      <c r="R16" s="593"/>
      <c r="S16" s="593"/>
      <c r="T16" s="593"/>
      <c r="U16" s="593"/>
      <c r="V16" s="593"/>
      <c r="W16" s="593"/>
      <c r="X16" s="593"/>
      <c r="Y16" s="593"/>
      <c r="Z16" s="593"/>
      <c r="AA16" s="593"/>
      <c r="AB16" s="593"/>
      <c r="AC16" s="593"/>
    </row>
    <row r="17" spans="1:29" hidden="1" x14ac:dyDescent="0.3">
      <c r="A17" s="23"/>
      <c r="N17" s="27"/>
      <c r="O17" s="594"/>
      <c r="P17" s="593"/>
      <c r="Q17" s="593"/>
      <c r="R17" s="593"/>
      <c r="S17" s="593"/>
      <c r="T17" s="593"/>
      <c r="U17" s="593"/>
      <c r="V17" s="593"/>
      <c r="W17" s="593"/>
      <c r="X17" s="593"/>
      <c r="Y17" s="593"/>
      <c r="Z17" s="593"/>
      <c r="AA17" s="593"/>
      <c r="AB17" s="593"/>
      <c r="AC17" s="593"/>
    </row>
    <row r="18" spans="1:29" ht="15" hidden="1" customHeight="1" x14ac:dyDescent="0.3">
      <c r="A18" s="23"/>
      <c r="N18" s="27"/>
      <c r="O18" s="594"/>
      <c r="P18" s="593"/>
      <c r="Q18" s="593"/>
      <c r="R18" s="593"/>
      <c r="S18" s="593"/>
      <c r="T18" s="593"/>
      <c r="U18" s="593"/>
      <c r="V18" s="593"/>
      <c r="W18" s="593"/>
      <c r="X18" s="593"/>
      <c r="Y18" s="593"/>
      <c r="Z18" s="593"/>
      <c r="AA18" s="593"/>
      <c r="AB18" s="593"/>
      <c r="AC18" s="593"/>
    </row>
    <row r="19" spans="1:29" ht="15" thickBot="1" x14ac:dyDescent="0.3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/>
      <c r="O19" s="594"/>
      <c r="P19" s="593"/>
      <c r="Q19" s="593"/>
      <c r="R19" s="593"/>
      <c r="S19" s="593"/>
      <c r="T19" s="593"/>
      <c r="U19" s="593"/>
      <c r="V19" s="593"/>
      <c r="W19" s="593"/>
      <c r="X19" s="593"/>
      <c r="Y19" s="593"/>
      <c r="Z19" s="593"/>
      <c r="AA19" s="593"/>
      <c r="AB19" s="593"/>
      <c r="AC19" s="593"/>
    </row>
  </sheetData>
  <sheetProtection algorithmName="SHA-512" hashValue="kTumCrbB5pjuNP9smxAm8ML+tqt2dFe4xpXdfqVSQfeSQoCiNuWXyYRpJryLngVejE8JMr3WMO7poFJqDxiJqA==" saltValue="rnGPHHP/XHDCp7/8i85Bm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T34"/>
  <sheetViews>
    <sheetView showGridLines="0" zoomScale="70" zoomScaleNormal="70" workbookViewId="0">
      <selection activeCell="T34" sqref="T34"/>
    </sheetView>
  </sheetViews>
  <sheetFormatPr baseColWidth="10" defaultColWidth="11" defaultRowHeight="15.6" x14ac:dyDescent="0.3"/>
  <cols>
    <col min="1" max="1" width="4.5" customWidth="1"/>
  </cols>
  <sheetData>
    <row r="2" spans="2:14" ht="1.2" customHeight="1" x14ac:dyDescent="0.3"/>
    <row r="4" spans="2:14" ht="28.95" customHeight="1" x14ac:dyDescent="0.3">
      <c r="B4" s="334" t="s">
        <v>0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5">
        <f ca="1">TODAY()</f>
        <v>45404</v>
      </c>
      <c r="N4" s="336"/>
    </row>
    <row r="5" spans="2:14" ht="16.2" customHeight="1" x14ac:dyDescent="0.3"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6"/>
      <c r="N5" s="336"/>
    </row>
    <row r="6" spans="2:14" x14ac:dyDescent="0.3">
      <c r="M6" s="16"/>
    </row>
    <row r="7" spans="2:14" ht="21" x14ac:dyDescent="0.4">
      <c r="E7" s="333" t="s">
        <v>1</v>
      </c>
      <c r="F7" s="333"/>
      <c r="G7" s="333"/>
      <c r="H7" s="333"/>
      <c r="I7" s="333"/>
      <c r="J7" s="333"/>
      <c r="K7" s="333"/>
    </row>
    <row r="8" spans="2:14" ht="21" x14ac:dyDescent="0.4">
      <c r="E8" s="1"/>
      <c r="F8" s="1"/>
      <c r="G8" s="1"/>
      <c r="H8" s="185" t="s">
        <v>2</v>
      </c>
      <c r="I8" s="1"/>
      <c r="J8" s="1"/>
      <c r="K8" s="1"/>
    </row>
    <row r="9" spans="2:14" ht="21" x14ac:dyDescent="0.4">
      <c r="E9" s="1"/>
      <c r="F9" s="333" t="s">
        <v>3</v>
      </c>
      <c r="G9" s="333"/>
      <c r="H9" s="333"/>
      <c r="I9" s="333"/>
      <c r="J9" s="333"/>
      <c r="K9" s="1"/>
    </row>
    <row r="34" spans="20:20" x14ac:dyDescent="0.3">
      <c r="T34" t="s">
        <v>243</v>
      </c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9"/>
  <sheetViews>
    <sheetView showGridLines="0" tabSelected="1" zoomScaleNormal="100" workbookViewId="0">
      <selection activeCell="L13" sqref="L13"/>
    </sheetView>
  </sheetViews>
  <sheetFormatPr baseColWidth="10" defaultColWidth="11" defaultRowHeight="15.6" x14ac:dyDescent="0.3"/>
  <cols>
    <col min="1" max="1" width="2.69921875" customWidth="1"/>
    <col min="2" max="2" width="22.796875" customWidth="1"/>
    <col min="3" max="3" width="15.5" customWidth="1"/>
    <col min="4" max="4" width="10.69921875" customWidth="1"/>
    <col min="5" max="5" width="15.19921875" customWidth="1"/>
    <col min="6" max="6" width="19.796875" customWidth="1"/>
    <col min="7" max="7" width="16.19921875" customWidth="1"/>
    <col min="8" max="8" width="16.796875" customWidth="1"/>
    <col min="10" max="10" width="0" hidden="1" customWidth="1"/>
  </cols>
  <sheetData>
    <row r="1" spans="2:10" ht="3" customHeight="1" thickBot="1" x14ac:dyDescent="0.35"/>
    <row r="2" spans="2:10" ht="19.95" customHeight="1" x14ac:dyDescent="0.3">
      <c r="B2" s="351" t="s">
        <v>4</v>
      </c>
      <c r="C2" s="352"/>
      <c r="D2" s="352"/>
      <c r="E2" s="352"/>
      <c r="F2" s="352"/>
      <c r="G2" s="352"/>
      <c r="H2" s="353"/>
    </row>
    <row r="3" spans="2:10" ht="19.95" customHeight="1" thickBot="1" x14ac:dyDescent="0.35">
      <c r="B3" s="354"/>
      <c r="C3" s="355"/>
      <c r="D3" s="355"/>
      <c r="E3" s="355"/>
      <c r="F3" s="355"/>
      <c r="G3" s="355"/>
      <c r="H3" s="356"/>
    </row>
    <row r="4" spans="2:10" ht="3.45" customHeight="1" thickBot="1" x14ac:dyDescent="0.35"/>
    <row r="5" spans="2:10" x14ac:dyDescent="0.3">
      <c r="F5" s="340" t="s">
        <v>5</v>
      </c>
      <c r="G5" s="341"/>
      <c r="H5" s="341"/>
    </row>
    <row r="6" spans="2:10" ht="3.45" customHeight="1" thickBot="1" x14ac:dyDescent="0.35"/>
    <row r="7" spans="2:10" ht="16.2" thickBot="1" x14ac:dyDescent="0.35">
      <c r="B7" s="245" t="s">
        <v>211</v>
      </c>
      <c r="C7" s="363" t="s">
        <v>244</v>
      </c>
      <c r="D7" s="360"/>
      <c r="E7" s="364"/>
      <c r="F7" s="225" t="s">
        <v>6</v>
      </c>
      <c r="G7" s="226" t="s">
        <v>7</v>
      </c>
      <c r="H7" s="229" t="s">
        <v>8</v>
      </c>
      <c r="J7" t="s">
        <v>9</v>
      </c>
    </row>
    <row r="8" spans="2:10" x14ac:dyDescent="0.3">
      <c r="B8" s="246" t="s">
        <v>10</v>
      </c>
      <c r="C8" s="365" t="s">
        <v>232</v>
      </c>
      <c r="D8" s="358"/>
      <c r="E8" s="359"/>
      <c r="F8" s="233" t="s">
        <v>11</v>
      </c>
      <c r="G8" s="130">
        <v>75000</v>
      </c>
      <c r="H8" s="133">
        <f>G8*0.77</f>
        <v>57750</v>
      </c>
      <c r="J8" t="s">
        <v>12</v>
      </c>
    </row>
    <row r="9" spans="2:10" x14ac:dyDescent="0.3">
      <c r="B9" s="246" t="s">
        <v>13</v>
      </c>
      <c r="C9" s="357" t="s">
        <v>237</v>
      </c>
      <c r="D9" s="358"/>
      <c r="E9" s="359"/>
      <c r="F9" s="234" t="s">
        <v>14</v>
      </c>
      <c r="G9" s="131"/>
      <c r="H9" s="90">
        <f>IF(ISNUMBER(G9),G9*0.7,0)</f>
        <v>0</v>
      </c>
    </row>
    <row r="10" spans="2:10" ht="16.2" thickBot="1" x14ac:dyDescent="0.35">
      <c r="B10" s="246" t="s">
        <v>15</v>
      </c>
      <c r="C10" s="357"/>
      <c r="D10" s="368"/>
      <c r="E10" s="359"/>
      <c r="F10" s="235" t="s">
        <v>231</v>
      </c>
      <c r="G10" s="18"/>
      <c r="H10" s="153"/>
    </row>
    <row r="11" spans="2:10" ht="16.2" thickBot="1" x14ac:dyDescent="0.35">
      <c r="B11" s="249" t="s">
        <v>203</v>
      </c>
      <c r="C11" s="247" t="s">
        <v>205</v>
      </c>
      <c r="D11" s="250" t="str">
        <f>IF(C11=G44,"Montant","")</f>
        <v/>
      </c>
      <c r="E11" s="248"/>
      <c r="F11" s="1"/>
      <c r="G11" s="236"/>
      <c r="H11" s="237"/>
    </row>
    <row r="12" spans="2:10" ht="7.2" customHeight="1" thickBot="1" x14ac:dyDescent="0.35"/>
    <row r="13" spans="2:10" ht="16.2" thickBot="1" x14ac:dyDescent="0.35">
      <c r="B13" s="245" t="s">
        <v>16</v>
      </c>
      <c r="C13" s="363" t="s">
        <v>245</v>
      </c>
      <c r="D13" s="360"/>
      <c r="E13" s="364"/>
      <c r="F13" s="243" t="s">
        <v>6</v>
      </c>
      <c r="G13" s="219" t="s">
        <v>7</v>
      </c>
      <c r="H13" s="220" t="s">
        <v>8</v>
      </c>
    </row>
    <row r="14" spans="2:10" x14ac:dyDescent="0.3">
      <c r="B14" s="246" t="s">
        <v>10</v>
      </c>
      <c r="C14" s="365" t="s">
        <v>232</v>
      </c>
      <c r="D14" s="358"/>
      <c r="E14" s="359"/>
      <c r="F14" s="244" t="s">
        <v>11</v>
      </c>
      <c r="G14" s="214">
        <v>60000</v>
      </c>
      <c r="H14" s="215">
        <f>G14*0.77</f>
        <v>46200</v>
      </c>
    </row>
    <row r="15" spans="2:10" x14ac:dyDescent="0.3">
      <c r="B15" s="246" t="s">
        <v>13</v>
      </c>
      <c r="C15" s="357" t="s">
        <v>238</v>
      </c>
      <c r="D15" s="358"/>
      <c r="E15" s="359"/>
      <c r="F15" s="234" t="s">
        <v>14</v>
      </c>
      <c r="G15" s="131"/>
      <c r="H15" s="90">
        <f>IF(ISNUMBER(G15),G15*0.7,0)</f>
        <v>0</v>
      </c>
    </row>
    <row r="16" spans="2:10" ht="16.2" thickBot="1" x14ac:dyDescent="0.35">
      <c r="B16" s="246" t="s">
        <v>15</v>
      </c>
      <c r="C16" s="357"/>
      <c r="D16" s="368"/>
      <c r="E16" s="359"/>
      <c r="F16" s="235" t="s">
        <v>231</v>
      </c>
      <c r="G16" s="18"/>
      <c r="H16" s="153"/>
    </row>
    <row r="17" spans="2:9" ht="16.2" thickBot="1" x14ac:dyDescent="0.35">
      <c r="B17" s="249" t="s">
        <v>203</v>
      </c>
      <c r="C17" s="247" t="s">
        <v>205</v>
      </c>
      <c r="D17" s="250" t="str">
        <f>IF(C17=G44,"Montant","")</f>
        <v/>
      </c>
      <c r="E17" s="248"/>
      <c r="F17" s="1"/>
      <c r="G17" s="236"/>
      <c r="H17" s="237"/>
    </row>
    <row r="18" spans="2:9" ht="4.95" customHeight="1" thickBot="1" x14ac:dyDescent="0.35"/>
    <row r="19" spans="2:9" ht="16.2" thickBot="1" x14ac:dyDescent="0.35">
      <c r="B19" s="2" t="s">
        <v>17</v>
      </c>
      <c r="C19" s="360" t="s">
        <v>226</v>
      </c>
      <c r="D19" s="360"/>
      <c r="E19" s="361"/>
      <c r="F19" s="228" t="s">
        <v>19</v>
      </c>
      <c r="G19" s="226" t="s">
        <v>197</v>
      </c>
      <c r="H19" s="229" t="s">
        <v>198</v>
      </c>
    </row>
    <row r="20" spans="2:9" x14ac:dyDescent="0.3">
      <c r="B20" s="3" t="s">
        <v>21</v>
      </c>
      <c r="C20" s="358" t="s">
        <v>22</v>
      </c>
      <c r="D20" s="358"/>
      <c r="E20" s="362"/>
      <c r="F20" s="154" t="s">
        <v>9</v>
      </c>
      <c r="G20" s="130"/>
      <c r="H20" s="155"/>
    </row>
    <row r="21" spans="2:9" ht="16.2" customHeight="1" x14ac:dyDescent="0.3">
      <c r="B21" s="3" t="s">
        <v>23</v>
      </c>
      <c r="C21" s="358"/>
      <c r="D21" s="358"/>
      <c r="E21" s="362"/>
      <c r="F21" s="152" t="s">
        <v>24</v>
      </c>
      <c r="G21" s="20"/>
      <c r="H21" s="90">
        <f>G21*0.8</f>
        <v>0</v>
      </c>
    </row>
    <row r="22" spans="2:9" ht="16.2" customHeight="1" thickBot="1" x14ac:dyDescent="0.35">
      <c r="B22" s="151" t="s">
        <v>25</v>
      </c>
      <c r="C22" s="366"/>
      <c r="D22" s="366"/>
      <c r="E22" s="367"/>
      <c r="F22" s="17" t="s">
        <v>196</v>
      </c>
      <c r="G22" s="132"/>
      <c r="H22" s="156">
        <f>IF(G22&gt;5959,5959,G22)</f>
        <v>0</v>
      </c>
    </row>
    <row r="23" spans="2:9" ht="17.55" customHeight="1" thickBot="1" x14ac:dyDescent="0.35">
      <c r="B23" s="231"/>
      <c r="C23" s="231"/>
      <c r="D23" s="231"/>
      <c r="E23" s="231"/>
      <c r="F23" s="347" t="s">
        <v>227</v>
      </c>
      <c r="G23" s="348"/>
      <c r="H23" s="253">
        <f>SUM(H8:H10)+SUM(H14:H16)+SUM(H20:H22)</f>
        <v>103950</v>
      </c>
    </row>
    <row r="24" spans="2:9" ht="3" customHeight="1" thickBot="1" x14ac:dyDescent="0.35">
      <c r="F24" s="251"/>
      <c r="G24" s="251"/>
      <c r="H24" s="252"/>
    </row>
    <row r="25" spans="2:9" ht="15" customHeight="1" thickBot="1" x14ac:dyDescent="0.35">
      <c r="B25" s="344" t="s">
        <v>208</v>
      </c>
      <c r="C25" s="345"/>
      <c r="D25" s="345"/>
      <c r="E25" s="345"/>
      <c r="F25" s="345"/>
      <c r="G25" s="345"/>
      <c r="H25" s="346"/>
      <c r="I25" s="254"/>
    </row>
    <row r="26" spans="2:9" ht="42" customHeight="1" thickBot="1" x14ac:dyDescent="0.35">
      <c r="B26" s="255" t="s">
        <v>207</v>
      </c>
      <c r="C26" s="337"/>
      <c r="D26" s="338"/>
      <c r="E26" s="339"/>
      <c r="F26" s="255" t="s">
        <v>206</v>
      </c>
      <c r="G26" s="342"/>
      <c r="H26" s="343"/>
    </row>
    <row r="27" spans="2:9" ht="16.2" thickBot="1" x14ac:dyDescent="0.35">
      <c r="B27" s="344" t="s">
        <v>26</v>
      </c>
      <c r="C27" s="345"/>
      <c r="D27" s="345"/>
      <c r="E27" s="346"/>
      <c r="F27" s="344" t="s">
        <v>27</v>
      </c>
      <c r="G27" s="345"/>
      <c r="H27" s="346"/>
    </row>
    <row r="28" spans="2:9" ht="4.95" customHeight="1" thickBot="1" x14ac:dyDescent="0.35"/>
    <row r="29" spans="2:9" ht="16.2" thickBot="1" x14ac:dyDescent="0.35">
      <c r="B29" s="228" t="s">
        <v>28</v>
      </c>
      <c r="C29" s="238" t="s">
        <v>29</v>
      </c>
      <c r="D29" s="375" t="s">
        <v>30</v>
      </c>
      <c r="E29" s="376"/>
      <c r="F29" s="94" t="s">
        <v>31</v>
      </c>
      <c r="G29" s="133">
        <f>'Impôt 2021 revenus 2020'!C8</f>
        <v>93155</v>
      </c>
      <c r="H29" s="230" t="s">
        <v>32</v>
      </c>
    </row>
    <row r="30" spans="2:9" ht="16.2" thickBot="1" x14ac:dyDescent="0.35">
      <c r="B30" s="91" t="s">
        <v>235</v>
      </c>
      <c r="C30" s="239">
        <v>23</v>
      </c>
      <c r="D30" s="373" t="s">
        <v>233</v>
      </c>
      <c r="E30" s="374"/>
      <c r="F30" s="242" t="s">
        <v>33</v>
      </c>
      <c r="G30" s="90">
        <f>'Impôt 2021 revenus 2020'!D14</f>
        <v>15790.18</v>
      </c>
      <c r="H30" s="148">
        <f>IF(AND(OR(C19="Marié",C19="Pacsé"),'Calcul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2'!D34,0%)))),IF(AND(OR(C19="Célibataire",C19="Divorcé",C19="Veuf",C19="Concubinage"),'Calcul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31" spans="2:9" ht="16.2" thickBot="1" x14ac:dyDescent="0.35">
      <c r="B31" s="92" t="s">
        <v>236</v>
      </c>
      <c r="C31" s="240">
        <v>21</v>
      </c>
      <c r="D31" s="371" t="s">
        <v>234</v>
      </c>
      <c r="E31" s="372"/>
      <c r="F31" s="242" t="s">
        <v>34</v>
      </c>
      <c r="G31" s="90">
        <f>H20*0.172</f>
        <v>0</v>
      </c>
      <c r="H31" s="230" t="s">
        <v>199</v>
      </c>
    </row>
    <row r="32" spans="2:9" ht="16.2" thickBot="1" x14ac:dyDescent="0.35">
      <c r="B32" s="92"/>
      <c r="C32" s="240"/>
      <c r="D32" s="371"/>
      <c r="E32" s="372"/>
      <c r="F32" s="242" t="s">
        <v>35</v>
      </c>
      <c r="G32" s="134"/>
      <c r="H32" s="257">
        <f>IF(G30/G29&lt;0,0,G30/G29)</f>
        <v>0.16950437442971392</v>
      </c>
    </row>
    <row r="33" spans="2:11" ht="16.2" thickBot="1" x14ac:dyDescent="0.35">
      <c r="B33" s="93"/>
      <c r="C33" s="241"/>
      <c r="D33" s="369"/>
      <c r="E33" s="370"/>
      <c r="F33" s="242" t="s">
        <v>36</v>
      </c>
      <c r="G33" s="135"/>
      <c r="H33" s="137"/>
    </row>
    <row r="34" spans="2:11" ht="16.2" thickBot="1" x14ac:dyDescent="0.35">
      <c r="B34" s="146" t="s">
        <v>37</v>
      </c>
      <c r="C34" s="147">
        <v>0</v>
      </c>
      <c r="D34" s="138"/>
      <c r="F34" s="142" t="s">
        <v>38</v>
      </c>
      <c r="G34" s="143"/>
    </row>
    <row r="35" spans="2:11" ht="6" customHeight="1" thickBot="1" x14ac:dyDescent="0.35">
      <c r="B35" s="138"/>
      <c r="C35" s="139"/>
      <c r="D35" s="138"/>
      <c r="F35" s="144"/>
      <c r="G35" s="145"/>
    </row>
    <row r="36" spans="2:11" ht="12.45" customHeight="1" thickBot="1" x14ac:dyDescent="0.35">
      <c r="B36" s="349" t="s">
        <v>39</v>
      </c>
      <c r="C36" s="350"/>
      <c r="D36" s="350"/>
      <c r="E36" s="350"/>
      <c r="F36" s="350"/>
      <c r="G36" s="350"/>
      <c r="H36" s="350"/>
      <c r="I36" s="15"/>
      <c r="J36" s="15"/>
      <c r="K36" s="15"/>
    </row>
    <row r="39" spans="2:11" hidden="1" x14ac:dyDescent="0.3"/>
    <row r="40" spans="2:11" hidden="1" x14ac:dyDescent="0.3">
      <c r="B40">
        <v>0</v>
      </c>
      <c r="C40" t="s">
        <v>40</v>
      </c>
    </row>
    <row r="41" spans="2:11" ht="15.45" hidden="1" customHeight="1" x14ac:dyDescent="0.3">
      <c r="B41">
        <v>1</v>
      </c>
      <c r="C41" t="s">
        <v>41</v>
      </c>
      <c r="D41" t="s">
        <v>22</v>
      </c>
      <c r="G41" t="s">
        <v>42</v>
      </c>
    </row>
    <row r="42" spans="2:11" ht="15.45" hidden="1" customHeight="1" x14ac:dyDescent="0.3">
      <c r="B42">
        <v>2</v>
      </c>
      <c r="D42" t="s">
        <v>43</v>
      </c>
      <c r="G42" t="s">
        <v>44</v>
      </c>
    </row>
    <row r="43" spans="2:11" ht="15.45" hidden="1" customHeight="1" x14ac:dyDescent="0.3">
      <c r="B43">
        <v>3</v>
      </c>
      <c r="D43" t="s">
        <v>45</v>
      </c>
    </row>
    <row r="44" spans="2:11" ht="15.45" hidden="1" customHeight="1" x14ac:dyDescent="0.3">
      <c r="B44">
        <v>4</v>
      </c>
      <c r="D44" t="s">
        <v>46</v>
      </c>
      <c r="G44" t="s">
        <v>204</v>
      </c>
    </row>
    <row r="45" spans="2:11" ht="15.45" hidden="1" customHeight="1" x14ac:dyDescent="0.3">
      <c r="B45">
        <v>5</v>
      </c>
      <c r="D45" t="s">
        <v>47</v>
      </c>
      <c r="G45" s="232" t="str">
        <f>"10%"</f>
        <v>10%</v>
      </c>
    </row>
    <row r="46" spans="2:11" ht="15.45" hidden="1" customHeight="1" x14ac:dyDescent="0.3">
      <c r="B46">
        <v>6</v>
      </c>
      <c r="D46" t="s">
        <v>48</v>
      </c>
    </row>
    <row r="47" spans="2:11" ht="15.45" hidden="1" customHeight="1" x14ac:dyDescent="0.3">
      <c r="B47">
        <v>7</v>
      </c>
      <c r="D47" t="s">
        <v>49</v>
      </c>
    </row>
    <row r="48" spans="2:11" ht="15.45" hidden="1" customHeight="1" x14ac:dyDescent="0.3">
      <c r="B48">
        <v>8</v>
      </c>
    </row>
    <row r="49" spans="2:2" ht="15.45" hidden="1" customHeight="1" x14ac:dyDescent="0.3">
      <c r="B49">
        <v>9</v>
      </c>
    </row>
    <row r="50" spans="2:2" ht="15.45" hidden="1" customHeight="1" x14ac:dyDescent="0.3">
      <c r="B50">
        <v>10</v>
      </c>
    </row>
    <row r="51" spans="2:2" ht="15.45" customHeight="1" x14ac:dyDescent="0.3"/>
    <row r="52" spans="2:2" ht="15.45" customHeight="1" x14ac:dyDescent="0.3"/>
    <row r="53" spans="2:2" ht="15.45" customHeight="1" x14ac:dyDescent="0.3"/>
    <row r="54" spans="2:2" ht="15.45" customHeight="1" x14ac:dyDescent="0.3"/>
    <row r="55" spans="2:2" ht="15.45" customHeight="1" x14ac:dyDescent="0.3"/>
    <row r="56" spans="2:2" ht="15.45" customHeight="1" x14ac:dyDescent="0.3"/>
    <row r="57" spans="2:2" ht="15.45" customHeight="1" x14ac:dyDescent="0.3"/>
    <row r="58" spans="2:2" ht="15.45" customHeight="1" x14ac:dyDescent="0.3"/>
    <row r="59" spans="2:2" ht="15.45" customHeight="1" x14ac:dyDescent="0.3"/>
  </sheetData>
  <mergeCells count="26">
    <mergeCell ref="D33:E33"/>
    <mergeCell ref="D32:E32"/>
    <mergeCell ref="D31:E31"/>
    <mergeCell ref="D30:E30"/>
    <mergeCell ref="D29:E29"/>
    <mergeCell ref="B36:H36"/>
    <mergeCell ref="B2:H3"/>
    <mergeCell ref="C15:E15"/>
    <mergeCell ref="C19:E19"/>
    <mergeCell ref="C20:E20"/>
    <mergeCell ref="F27:H27"/>
    <mergeCell ref="C7:E7"/>
    <mergeCell ref="C8:E8"/>
    <mergeCell ref="C9:E9"/>
    <mergeCell ref="C13:E13"/>
    <mergeCell ref="C14:E14"/>
    <mergeCell ref="C22:E22"/>
    <mergeCell ref="C10:E10"/>
    <mergeCell ref="C21:E21"/>
    <mergeCell ref="C16:E16"/>
    <mergeCell ref="B27:E27"/>
    <mergeCell ref="C26:E26"/>
    <mergeCell ref="F5:H5"/>
    <mergeCell ref="G26:H26"/>
    <mergeCell ref="B25:H25"/>
    <mergeCell ref="F23:G23"/>
  </mergeCells>
  <dataValidations count="6">
    <dataValidation type="list" allowBlank="1" showInputMessage="1" showErrorMessage="1" sqref="C20:E20" xr:uid="{F47CBD30-AC04-4E07-BC58-9C727FCBA355}">
      <formula1>$D$41:$D$48</formula1>
    </dataValidation>
    <dataValidation type="list" allowBlank="1" showInputMessage="1" showErrorMessage="1" promptTitle="Communauté" sqref="C19:E19" xr:uid="{4D4787BC-6A97-47E6-B9D6-7346B30B07E8}">
      <formula1>"Célibataire,Concubinage,Divorcé,Veuf,Marié,Pacsé"</formula1>
    </dataValidation>
    <dataValidation type="list" allowBlank="1" showInputMessage="1" showErrorMessage="1" sqref="F20" xr:uid="{B5A9C45F-3029-4ACA-B2A9-2A7A8780628B}">
      <formula1>$J$7:$J$8</formula1>
    </dataValidation>
    <dataValidation type="list" allowBlank="1" showInputMessage="1" showErrorMessage="1" sqref="C22:E22" xr:uid="{F91AA10A-2D56-43B5-87E1-EE890EFFD3DC}">
      <formula1>$C$40:$C$42</formula1>
    </dataValidation>
    <dataValidation type="list" allowBlank="1" showInputMessage="1" showErrorMessage="1" sqref="C34" xr:uid="{B62B7896-C42E-47FE-A026-CE9114D87D9C}">
      <formula1>$B$38:$B$48</formula1>
    </dataValidation>
    <dataValidation type="list" allowBlank="1" showInputMessage="1" showErrorMessage="1" sqref="C11 C17" xr:uid="{75E18A5F-A79B-46C6-BEF8-B52F13AF8AA7}">
      <formula1>$G$44:$G$46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C21:C22 D21:E21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75"/>
  <sheetViews>
    <sheetView showGridLines="0" topLeftCell="A26" zoomScaleNormal="100" workbookViewId="0">
      <selection activeCell="B52" sqref="B52"/>
    </sheetView>
  </sheetViews>
  <sheetFormatPr baseColWidth="10" defaultColWidth="11" defaultRowHeight="15.6" x14ac:dyDescent="0.3"/>
  <cols>
    <col min="1" max="1" width="6.19921875" customWidth="1"/>
    <col min="2" max="2" width="24.19921875" style="4" customWidth="1"/>
    <col min="3" max="3" width="11.69921875" customWidth="1"/>
    <col min="4" max="4" width="12.19921875" customWidth="1"/>
    <col min="5" max="5" width="11" customWidth="1"/>
    <col min="6" max="6" width="12.69921875" customWidth="1"/>
    <col min="7" max="7" width="11.796875" customWidth="1"/>
    <col min="8" max="8" width="10.19921875" customWidth="1"/>
    <col min="9" max="9" width="11.69921875" customWidth="1"/>
    <col min="10" max="10" width="13.296875" customWidth="1"/>
  </cols>
  <sheetData>
    <row r="1" spans="2:10" ht="3" customHeight="1" thickBot="1" x14ac:dyDescent="0.35"/>
    <row r="2" spans="2:10" ht="19.95" customHeight="1" x14ac:dyDescent="0.3">
      <c r="B2" s="395" t="s">
        <v>50</v>
      </c>
      <c r="C2" s="396"/>
      <c r="D2" s="396"/>
      <c r="E2" s="396"/>
      <c r="F2" s="396"/>
      <c r="G2" s="396"/>
      <c r="H2" s="396"/>
      <c r="I2" s="396"/>
      <c r="J2" s="397"/>
    </row>
    <row r="3" spans="2:10" ht="19.95" customHeight="1" thickBot="1" x14ac:dyDescent="0.35">
      <c r="B3" s="398"/>
      <c r="C3" s="399"/>
      <c r="D3" s="399"/>
      <c r="E3" s="399"/>
      <c r="F3" s="399"/>
      <c r="G3" s="399"/>
      <c r="H3" s="399"/>
      <c r="I3" s="399"/>
      <c r="J3" s="400"/>
    </row>
    <row r="4" spans="2:10" ht="4.2" customHeight="1" thickBot="1" x14ac:dyDescent="0.35">
      <c r="C4" s="265"/>
      <c r="D4" s="265"/>
      <c r="E4" s="265"/>
      <c r="F4" s="265"/>
      <c r="G4" s="265"/>
      <c r="H4" s="265"/>
      <c r="I4" s="265"/>
      <c r="J4" s="265"/>
    </row>
    <row r="5" spans="2:10" ht="16.2" thickBot="1" x14ac:dyDescent="0.35">
      <c r="B5" s="385" t="s">
        <v>51</v>
      </c>
      <c r="C5" s="386"/>
      <c r="D5" s="386"/>
      <c r="E5" s="386"/>
      <c r="F5" s="386"/>
      <c r="G5" s="386"/>
      <c r="H5" s="386"/>
      <c r="I5" s="386"/>
      <c r="J5" s="401"/>
    </row>
    <row r="6" spans="2:10" ht="3" customHeight="1" thickBot="1" x14ac:dyDescent="0.35">
      <c r="C6" s="265"/>
      <c r="D6" s="265"/>
      <c r="E6" s="265"/>
      <c r="F6" s="265"/>
      <c r="G6" s="265"/>
      <c r="H6" s="265"/>
      <c r="I6" s="265"/>
      <c r="J6" s="265"/>
    </row>
    <row r="7" spans="2:10" ht="16.95" customHeight="1" thickBot="1" x14ac:dyDescent="0.35">
      <c r="B7" s="406" t="s">
        <v>214</v>
      </c>
      <c r="C7" s="410" t="s">
        <v>53</v>
      </c>
      <c r="D7" s="404"/>
      <c r="E7" s="221" t="s">
        <v>218</v>
      </c>
      <c r="F7" s="221" t="s">
        <v>97</v>
      </c>
      <c r="G7" s="221" t="s">
        <v>55</v>
      </c>
      <c r="H7" s="221" t="s">
        <v>213</v>
      </c>
      <c r="I7" s="404" t="s">
        <v>212</v>
      </c>
      <c r="J7" s="405"/>
    </row>
    <row r="8" spans="2:10" ht="16.95" customHeight="1" thickBot="1" x14ac:dyDescent="0.35">
      <c r="B8" s="407"/>
      <c r="C8" s="408" t="s">
        <v>228</v>
      </c>
      <c r="D8" s="409"/>
      <c r="E8" s="270">
        <v>2004</v>
      </c>
      <c r="F8" s="269"/>
      <c r="G8" s="269"/>
      <c r="H8" s="307"/>
      <c r="I8" s="411"/>
      <c r="J8" s="412"/>
    </row>
    <row r="9" spans="2:10" ht="3" customHeight="1" thickBot="1" x14ac:dyDescent="0.35">
      <c r="B9" s="258"/>
      <c r="C9" s="268"/>
      <c r="D9" s="271"/>
      <c r="E9" s="272"/>
      <c r="F9" s="272"/>
      <c r="G9" s="273"/>
      <c r="H9" s="274"/>
      <c r="I9" s="274"/>
      <c r="J9" s="265"/>
    </row>
    <row r="10" spans="2:10" ht="16.95" customHeight="1" thickBot="1" x14ac:dyDescent="0.35">
      <c r="B10" s="385" t="s">
        <v>57</v>
      </c>
      <c r="C10" s="386"/>
      <c r="D10" s="386"/>
      <c r="E10" s="386"/>
      <c r="F10" s="386"/>
      <c r="G10" s="386"/>
      <c r="H10" s="386"/>
      <c r="I10" s="386"/>
      <c r="J10" s="401"/>
    </row>
    <row r="11" spans="2:10" ht="16.2" thickBot="1" x14ac:dyDescent="0.35">
      <c r="B11" s="417" t="s">
        <v>58</v>
      </c>
      <c r="C11" s="418"/>
      <c r="D11" s="221" t="s">
        <v>97</v>
      </c>
      <c r="E11" s="221" t="s">
        <v>218</v>
      </c>
      <c r="F11" s="221" t="s">
        <v>55</v>
      </c>
      <c r="G11" s="221" t="s">
        <v>56</v>
      </c>
      <c r="H11" s="221" t="s">
        <v>59</v>
      </c>
      <c r="I11" s="221" t="s">
        <v>60</v>
      </c>
      <c r="J11" s="222" t="s">
        <v>70</v>
      </c>
    </row>
    <row r="12" spans="2:10" ht="3" customHeight="1" thickBot="1" x14ac:dyDescent="0.35">
      <c r="C12" s="265"/>
      <c r="D12" s="265"/>
      <c r="E12" s="265"/>
      <c r="F12" s="265"/>
      <c r="G12" s="265"/>
      <c r="H12" s="265"/>
      <c r="I12" s="265"/>
      <c r="J12" s="265"/>
    </row>
    <row r="13" spans="2:10" x14ac:dyDescent="0.3">
      <c r="B13" s="415" t="s">
        <v>239</v>
      </c>
      <c r="C13" s="416"/>
      <c r="D13" s="275"/>
      <c r="E13" s="276">
        <v>2009</v>
      </c>
      <c r="F13" s="275">
        <v>270000</v>
      </c>
      <c r="G13" s="277"/>
      <c r="H13" s="278">
        <v>1800</v>
      </c>
      <c r="I13" s="278">
        <v>800</v>
      </c>
      <c r="J13" s="279" t="str">
        <f>IF(ISBLANK(D13),"",I13*12/D13)</f>
        <v/>
      </c>
    </row>
    <row r="14" spans="2:10" x14ac:dyDescent="0.3">
      <c r="B14" s="413" t="s">
        <v>240</v>
      </c>
      <c r="C14" s="414"/>
      <c r="D14" s="280"/>
      <c r="E14" s="281">
        <v>2014</v>
      </c>
      <c r="F14" s="280">
        <v>250000</v>
      </c>
      <c r="G14" s="264"/>
      <c r="H14" s="282">
        <v>1800</v>
      </c>
      <c r="I14" s="283">
        <v>650</v>
      </c>
      <c r="J14" s="284" t="str">
        <f>IF(ISBLANK(D14),"",I14*12/D14)</f>
        <v/>
      </c>
    </row>
    <row r="15" spans="2:10" x14ac:dyDescent="0.3">
      <c r="B15" s="413"/>
      <c r="C15" s="414"/>
      <c r="D15" s="280"/>
      <c r="E15" s="281"/>
      <c r="F15" s="280"/>
      <c r="G15" s="264"/>
      <c r="H15" s="282"/>
      <c r="I15" s="283"/>
      <c r="J15" s="284" t="str">
        <f>IF(ISBLANK(D15),"",I15*12/D15)</f>
        <v/>
      </c>
    </row>
    <row r="16" spans="2:10" ht="16.2" thickBot="1" x14ac:dyDescent="0.35">
      <c r="B16" s="423"/>
      <c r="C16" s="424"/>
      <c r="D16" s="285"/>
      <c r="E16" s="286"/>
      <c r="F16" s="285"/>
      <c r="G16" s="287"/>
      <c r="H16" s="288"/>
      <c r="I16" s="288"/>
      <c r="J16" s="289" t="str">
        <f>IF(ISBLANK(D16),"",I16*12/D16)</f>
        <v/>
      </c>
    </row>
    <row r="17" spans="2:10" ht="2.5499999999999998" customHeight="1" thickBot="1" x14ac:dyDescent="0.35">
      <c r="C17" s="265"/>
      <c r="D17" s="265"/>
      <c r="E17" s="265"/>
      <c r="F17" s="265"/>
      <c r="G17" s="265"/>
      <c r="H17" s="265"/>
      <c r="I17" s="265"/>
      <c r="J17" s="265"/>
    </row>
    <row r="18" spans="2:10" ht="16.2" customHeight="1" thickBot="1" x14ac:dyDescent="0.35">
      <c r="B18" s="385" t="s">
        <v>61</v>
      </c>
      <c r="C18" s="386"/>
      <c r="D18" s="386"/>
      <c r="E18" s="386"/>
      <c r="F18" s="386"/>
      <c r="G18" s="386"/>
      <c r="H18" s="386"/>
      <c r="I18" s="386"/>
      <c r="J18" s="401"/>
    </row>
    <row r="19" spans="2:10" ht="2.5499999999999998" customHeight="1" thickBot="1" x14ac:dyDescent="0.35">
      <c r="C19" s="265"/>
      <c r="D19" s="265"/>
      <c r="E19" s="265"/>
      <c r="F19" s="265"/>
      <c r="G19" s="265"/>
      <c r="H19" s="265"/>
      <c r="I19" s="265"/>
      <c r="J19" s="265"/>
    </row>
    <row r="20" spans="2:10" ht="16.2" customHeight="1" thickBot="1" x14ac:dyDescent="0.35">
      <c r="B20" s="410" t="s">
        <v>62</v>
      </c>
      <c r="C20" s="404"/>
      <c r="D20" s="221" t="s">
        <v>63</v>
      </c>
      <c r="E20" s="221" t="s">
        <v>56</v>
      </c>
      <c r="F20" s="221" t="s">
        <v>64</v>
      </c>
      <c r="G20" s="221" t="s">
        <v>59</v>
      </c>
      <c r="H20" s="404" t="s">
        <v>30</v>
      </c>
      <c r="I20" s="404"/>
      <c r="J20" s="405"/>
    </row>
    <row r="21" spans="2:10" ht="3" customHeight="1" thickBot="1" x14ac:dyDescent="0.35">
      <c r="C21" s="265"/>
      <c r="D21" s="265"/>
      <c r="E21" s="265"/>
      <c r="F21" s="265"/>
      <c r="G21" s="265"/>
      <c r="H21" s="265"/>
      <c r="I21" s="265"/>
      <c r="J21" s="265"/>
    </row>
    <row r="22" spans="2:10" ht="16.2" customHeight="1" x14ac:dyDescent="0.3">
      <c r="B22" s="429"/>
      <c r="C22" s="430"/>
      <c r="D22" s="275"/>
      <c r="E22" s="276"/>
      <c r="F22" s="277"/>
      <c r="G22" s="278"/>
      <c r="H22" s="402"/>
      <c r="I22" s="402"/>
      <c r="J22" s="403"/>
    </row>
    <row r="23" spans="2:10" ht="16.2" customHeight="1" x14ac:dyDescent="0.3">
      <c r="B23" s="431"/>
      <c r="C23" s="432"/>
      <c r="D23" s="290"/>
      <c r="E23" s="291"/>
      <c r="F23" s="292"/>
      <c r="G23" s="293"/>
      <c r="H23" s="421"/>
      <c r="I23" s="421"/>
      <c r="J23" s="422"/>
    </row>
    <row r="24" spans="2:10" ht="16.2" customHeight="1" thickBot="1" x14ac:dyDescent="0.35">
      <c r="B24" s="427"/>
      <c r="C24" s="428"/>
      <c r="D24" s="285"/>
      <c r="E24" s="286"/>
      <c r="F24" s="287"/>
      <c r="G24" s="288"/>
      <c r="H24" s="419"/>
      <c r="I24" s="419"/>
      <c r="J24" s="420"/>
    </row>
    <row r="25" spans="2:10" ht="4.95" customHeight="1" thickBot="1" x14ac:dyDescent="0.35">
      <c r="B25" s="265"/>
      <c r="C25" s="265"/>
      <c r="D25" s="265"/>
      <c r="E25" s="265"/>
      <c r="F25" s="265"/>
      <c r="G25" s="265"/>
      <c r="H25" s="265"/>
      <c r="I25" s="265"/>
      <c r="J25" s="265"/>
    </row>
    <row r="26" spans="2:10" ht="16.2" thickBot="1" x14ac:dyDescent="0.35">
      <c r="B26" s="385" t="s">
        <v>65</v>
      </c>
      <c r="C26" s="386"/>
      <c r="D26" s="386"/>
      <c r="E26" s="386"/>
      <c r="F26" s="386"/>
      <c r="G26" s="386"/>
      <c r="H26" s="386"/>
      <c r="I26" s="386"/>
      <c r="J26" s="401"/>
    </row>
    <row r="27" spans="2:10" ht="6" customHeight="1" thickBot="1" x14ac:dyDescent="0.35">
      <c r="C27" s="265"/>
      <c r="D27" s="265"/>
      <c r="E27" s="265"/>
      <c r="F27" s="265"/>
      <c r="G27" s="265"/>
      <c r="H27" s="265"/>
      <c r="I27" s="265"/>
      <c r="J27" s="265"/>
    </row>
    <row r="28" spans="2:10" ht="16.2" thickBot="1" x14ac:dyDescent="0.35">
      <c r="B28" s="417" t="s">
        <v>66</v>
      </c>
      <c r="C28" s="433"/>
      <c r="D28" s="294" t="s">
        <v>63</v>
      </c>
      <c r="E28" s="294" t="s">
        <v>217</v>
      </c>
      <c r="F28" s="221" t="s">
        <v>55</v>
      </c>
      <c r="G28" s="294" t="s">
        <v>213</v>
      </c>
      <c r="H28" s="221" t="s">
        <v>59</v>
      </c>
      <c r="I28" s="221" t="s">
        <v>60</v>
      </c>
      <c r="J28" s="222" t="s">
        <v>70</v>
      </c>
    </row>
    <row r="29" spans="2:10" ht="4.95" customHeight="1" thickBot="1" x14ac:dyDescent="0.35">
      <c r="C29" s="265"/>
      <c r="D29" s="265"/>
      <c r="E29" s="265"/>
      <c r="F29" s="265"/>
      <c r="G29" s="265"/>
      <c r="H29" s="265"/>
      <c r="I29" s="265"/>
      <c r="J29" s="265"/>
    </row>
    <row r="30" spans="2:10" ht="16.95" customHeight="1" x14ac:dyDescent="0.3">
      <c r="B30" s="436"/>
      <c r="C30" s="437"/>
      <c r="D30" s="295"/>
      <c r="E30" s="295"/>
      <c r="F30" s="295"/>
      <c r="G30" s="295"/>
      <c r="H30" s="296"/>
      <c r="I30" s="297"/>
      <c r="J30" s="298" t="str">
        <f>IF(ISBLANK(B30),"",(I30*12)/D30)</f>
        <v/>
      </c>
    </row>
    <row r="31" spans="2:10" ht="16.95" customHeight="1" thickBot="1" x14ac:dyDescent="0.35">
      <c r="B31" s="434"/>
      <c r="C31" s="435"/>
      <c r="D31" s="288"/>
      <c r="E31" s="288"/>
      <c r="F31" s="288"/>
      <c r="G31" s="288"/>
      <c r="H31" s="285"/>
      <c r="I31" s="299"/>
      <c r="J31" s="300" t="str">
        <f>IF(ISBLANK(B31),"",(I31*12)/D31)</f>
        <v/>
      </c>
    </row>
    <row r="32" spans="2:10" ht="4.2" customHeight="1" x14ac:dyDescent="0.3">
      <c r="C32" s="265"/>
      <c r="D32" s="265"/>
      <c r="E32" s="265"/>
      <c r="F32" s="265"/>
      <c r="G32" s="265"/>
      <c r="H32" s="265"/>
      <c r="I32" s="265"/>
      <c r="J32" s="265"/>
    </row>
    <row r="33" spans="2:10" ht="20.55" customHeight="1" x14ac:dyDescent="0.3">
      <c r="B33" s="379" t="s">
        <v>67</v>
      </c>
      <c r="C33" s="379"/>
      <c r="D33" s="377">
        <f>MAX(0,IF('Etat Civil'!H23=0,0,(SUM(I8,H13:H16,G22:G24))/((SUM(I13:I16)*0.8)+(('Etat Civil'!H23+'Etat Civil'!G22-'Etat Civil'!H22-'Etat Civil'!H20-'Etat Civil'!H21)/12))))</f>
        <v>0.36650547213031304</v>
      </c>
      <c r="E33" s="378"/>
      <c r="F33" s="379" t="str">
        <f>IF(AND(ISBLANK(B30),ISBLANK(B31)),"","TAUX D'ENDETTEMENT SI PROJET")</f>
        <v/>
      </c>
      <c r="G33" s="379"/>
      <c r="H33" s="379"/>
      <c r="I33" s="377" t="str">
        <f>IF(AND(ISBLANK(B30),ISBLANK(B31)),"",MAX(0,IF('Etat Civil'!H23=0,0,IF(OR(B30="Changement RP",B31="Changement RP"),(SUM(H13:H16,G22:G24,H30:H31))/((SUM(I13:I16,I30:I31)*0.8)+(('Etat Civil'!H23+'Etat Civil'!G22-'Etat Civil'!H22-'Etat Civil'!H20-'Etat Civil'!H21)/12)),(SUM(H13:H16,G22:G24,H30:H31,I8))/((SUM(I13:I16,I30:I31)*0.8)+(('Etat Civil'!H23+'Etat Civil'!G22-'Etat Civil'!H22-'Etat Civil'!H20-'Etat Civil'!H21)/12))))))</f>
        <v/>
      </c>
      <c r="J33" s="377"/>
    </row>
    <row r="34" spans="2:10" ht="4.05" customHeight="1" thickBot="1" x14ac:dyDescent="0.35"/>
    <row r="35" spans="2:10" ht="21" customHeight="1" thickBot="1" x14ac:dyDescent="0.35">
      <c r="B35" s="440" t="s">
        <v>221</v>
      </c>
      <c r="C35" s="441"/>
      <c r="D35" s="318" t="s">
        <v>7</v>
      </c>
      <c r="E35" s="319">
        <f>SUM(D13:D16,F8)</f>
        <v>0</v>
      </c>
      <c r="F35" s="318" t="s">
        <v>8</v>
      </c>
      <c r="G35" s="320">
        <f>E35-SUM(G8,F13:F16)</f>
        <v>-520000</v>
      </c>
      <c r="H35" s="440" t="s">
        <v>223</v>
      </c>
      <c r="I35" s="384"/>
      <c r="J35" s="326">
        <f>E35/D63</f>
        <v>0</v>
      </c>
    </row>
    <row r="36" spans="2:10" ht="4.05" customHeight="1" thickBot="1" x14ac:dyDescent="0.35">
      <c r="C36" s="265"/>
      <c r="D36" s="265"/>
      <c r="E36" s="265"/>
      <c r="F36" s="265"/>
      <c r="G36" s="265"/>
      <c r="H36" s="265"/>
      <c r="I36" s="265"/>
      <c r="J36" s="265"/>
    </row>
    <row r="37" spans="2:10" ht="19.95" customHeight="1" x14ac:dyDescent="0.3">
      <c r="B37" s="395" t="s">
        <v>68</v>
      </c>
      <c r="C37" s="396"/>
      <c r="D37" s="396"/>
      <c r="E37" s="396"/>
      <c r="F37" s="396"/>
      <c r="G37" s="396"/>
      <c r="H37" s="396"/>
      <c r="I37" s="396"/>
      <c r="J37" s="397"/>
    </row>
    <row r="38" spans="2:10" ht="19.95" customHeight="1" thickBot="1" x14ac:dyDescent="0.35">
      <c r="B38" s="398"/>
      <c r="C38" s="399"/>
      <c r="D38" s="399"/>
      <c r="E38" s="399"/>
      <c r="F38" s="399"/>
      <c r="G38" s="399"/>
      <c r="H38" s="399"/>
      <c r="I38" s="399"/>
      <c r="J38" s="400"/>
    </row>
    <row r="39" spans="2:10" ht="3" customHeight="1" thickBot="1" x14ac:dyDescent="0.35">
      <c r="B39" s="265"/>
      <c r="C39" s="301"/>
      <c r="D39" s="265"/>
      <c r="E39" s="265"/>
      <c r="F39" s="301"/>
      <c r="G39" s="301"/>
      <c r="H39" s="9"/>
      <c r="I39" s="265"/>
      <c r="J39" s="265"/>
    </row>
    <row r="40" spans="2:10" ht="16.2" thickBot="1" x14ac:dyDescent="0.35">
      <c r="B40" s="218" t="s">
        <v>69</v>
      </c>
      <c r="C40" s="302" t="s">
        <v>54</v>
      </c>
      <c r="D40" s="221" t="s">
        <v>70</v>
      </c>
      <c r="E40" s="221" t="s">
        <v>220</v>
      </c>
      <c r="F40" s="303" t="s">
        <v>71</v>
      </c>
      <c r="G40" s="304" t="s">
        <v>215</v>
      </c>
      <c r="H40" s="227" t="s">
        <v>216</v>
      </c>
      <c r="I40" s="417" t="s">
        <v>73</v>
      </c>
      <c r="J40" s="443"/>
    </row>
    <row r="41" spans="2:10" ht="16.2" thickBot="1" x14ac:dyDescent="0.35">
      <c r="B41" s="385" t="s">
        <v>74</v>
      </c>
      <c r="C41" s="386"/>
      <c r="D41" s="386"/>
      <c r="E41" s="386"/>
      <c r="F41" s="386"/>
      <c r="G41" s="386"/>
      <c r="H41" s="386"/>
      <c r="I41" s="386"/>
      <c r="J41" s="386"/>
    </row>
    <row r="42" spans="2:10" x14ac:dyDescent="0.3">
      <c r="B42" s="188"/>
      <c r="C42" s="197">
        <v>40000</v>
      </c>
      <c r="D42" s="259"/>
      <c r="E42" s="189"/>
      <c r="F42" s="197"/>
      <c r="G42" s="309"/>
      <c r="H42" s="309"/>
      <c r="I42" s="387"/>
      <c r="J42" s="388"/>
    </row>
    <row r="43" spans="2:10" x14ac:dyDescent="0.3">
      <c r="B43" s="191"/>
      <c r="C43" s="199"/>
      <c r="D43" s="260"/>
      <c r="E43" s="192"/>
      <c r="F43" s="199"/>
      <c r="G43" s="310"/>
      <c r="H43" s="310"/>
      <c r="I43" s="391"/>
      <c r="J43" s="392"/>
    </row>
    <row r="44" spans="2:10" x14ac:dyDescent="0.3">
      <c r="B44" s="191"/>
      <c r="C44" s="199"/>
      <c r="D44" s="260"/>
      <c r="E44" s="192"/>
      <c r="F44" s="199"/>
      <c r="G44" s="310"/>
      <c r="H44" s="310"/>
      <c r="I44" s="380"/>
      <c r="J44" s="381"/>
    </row>
    <row r="45" spans="2:10" x14ac:dyDescent="0.3">
      <c r="B45" s="191"/>
      <c r="C45" s="199"/>
      <c r="D45" s="260"/>
      <c r="E45" s="192"/>
      <c r="F45" s="199"/>
      <c r="G45" s="310"/>
      <c r="H45" s="310"/>
      <c r="I45" s="391"/>
      <c r="J45" s="392"/>
    </row>
    <row r="46" spans="2:10" x14ac:dyDescent="0.3">
      <c r="B46" s="313"/>
      <c r="C46" s="266"/>
      <c r="D46" s="317"/>
      <c r="E46" s="308"/>
      <c r="F46" s="266"/>
      <c r="G46" s="312"/>
      <c r="H46" s="312"/>
      <c r="I46" s="380"/>
      <c r="J46" s="381"/>
    </row>
    <row r="47" spans="2:10" x14ac:dyDescent="0.3">
      <c r="B47" s="313"/>
      <c r="C47" s="266"/>
      <c r="D47" s="317"/>
      <c r="E47" s="308"/>
      <c r="F47" s="266"/>
      <c r="G47" s="312"/>
      <c r="H47" s="312"/>
      <c r="I47" s="380"/>
      <c r="J47" s="381"/>
    </row>
    <row r="48" spans="2:10" ht="16.2" thickBot="1" x14ac:dyDescent="0.35">
      <c r="B48" s="186"/>
      <c r="C48" s="201"/>
      <c r="D48" s="261"/>
      <c r="E48" s="187"/>
      <c r="F48" s="201"/>
      <c r="G48" s="311"/>
      <c r="H48" s="311"/>
      <c r="I48" s="389"/>
      <c r="J48" s="390"/>
    </row>
    <row r="49" spans="2:10" ht="16.2" thickBot="1" x14ac:dyDescent="0.35">
      <c r="B49" s="385" t="s">
        <v>75</v>
      </c>
      <c r="C49" s="386"/>
      <c r="D49" s="386"/>
      <c r="E49" s="386"/>
      <c r="F49" s="386"/>
      <c r="G49" s="386"/>
      <c r="H49" s="386"/>
      <c r="I49" s="386"/>
      <c r="J49" s="386"/>
    </row>
    <row r="50" spans="2:10" x14ac:dyDescent="0.3">
      <c r="B50" s="188" t="s">
        <v>241</v>
      </c>
      <c r="C50" s="197">
        <v>77000</v>
      </c>
      <c r="D50" s="314"/>
      <c r="E50" s="189"/>
      <c r="F50" s="197"/>
      <c r="G50" s="309"/>
      <c r="H50" s="309"/>
      <c r="I50" s="387"/>
      <c r="J50" s="388"/>
    </row>
    <row r="51" spans="2:10" x14ac:dyDescent="0.3">
      <c r="B51" s="191" t="s">
        <v>219</v>
      </c>
      <c r="C51" s="199">
        <v>78000</v>
      </c>
      <c r="D51" s="262"/>
      <c r="E51" s="192"/>
      <c r="F51" s="199"/>
      <c r="G51" s="310" t="s">
        <v>242</v>
      </c>
      <c r="H51" s="310"/>
      <c r="I51" s="391"/>
      <c r="J51" s="392"/>
    </row>
    <row r="52" spans="2:10" x14ac:dyDescent="0.3">
      <c r="B52" s="191"/>
      <c r="C52" s="199"/>
      <c r="D52" s="262"/>
      <c r="E52" s="192"/>
      <c r="F52" s="199"/>
      <c r="G52" s="310"/>
      <c r="H52" s="310"/>
      <c r="I52" s="391"/>
      <c r="J52" s="392"/>
    </row>
    <row r="53" spans="2:10" x14ac:dyDescent="0.3">
      <c r="B53" s="191"/>
      <c r="C53" s="199"/>
      <c r="D53" s="262"/>
      <c r="E53" s="192"/>
      <c r="F53" s="199"/>
      <c r="G53" s="310"/>
      <c r="H53" s="310"/>
      <c r="I53" s="391"/>
      <c r="J53" s="392"/>
    </row>
    <row r="54" spans="2:10" x14ac:dyDescent="0.3">
      <c r="B54" s="313"/>
      <c r="C54" s="266"/>
      <c r="D54" s="315"/>
      <c r="E54" s="308"/>
      <c r="F54" s="266"/>
      <c r="G54" s="312"/>
      <c r="H54" s="312"/>
      <c r="I54" s="380"/>
      <c r="J54" s="381"/>
    </row>
    <row r="55" spans="2:10" ht="16.2" thickBot="1" x14ac:dyDescent="0.35">
      <c r="B55" s="186"/>
      <c r="C55" s="201"/>
      <c r="D55" s="261"/>
      <c r="E55" s="187"/>
      <c r="F55" s="201"/>
      <c r="G55" s="311"/>
      <c r="H55" s="311"/>
      <c r="I55" s="389"/>
      <c r="J55" s="390"/>
    </row>
    <row r="56" spans="2:10" ht="16.2" thickBot="1" x14ac:dyDescent="0.35">
      <c r="B56" s="385" t="s">
        <v>76</v>
      </c>
      <c r="C56" s="386"/>
      <c r="D56" s="386"/>
      <c r="E56" s="386"/>
      <c r="F56" s="386"/>
      <c r="G56" s="386"/>
      <c r="H56" s="386"/>
      <c r="I56" s="386"/>
      <c r="J56" s="386"/>
    </row>
    <row r="57" spans="2:10" x14ac:dyDescent="0.3">
      <c r="B57" s="188" t="s">
        <v>229</v>
      </c>
      <c r="C57" s="197"/>
      <c r="D57" s="263"/>
      <c r="E57" s="189"/>
      <c r="F57" s="197"/>
      <c r="G57" s="309"/>
      <c r="H57" s="309"/>
      <c r="I57" s="387"/>
      <c r="J57" s="388"/>
    </row>
    <row r="58" spans="2:10" x14ac:dyDescent="0.3">
      <c r="B58" s="191" t="s">
        <v>230</v>
      </c>
      <c r="C58" s="199"/>
      <c r="D58" s="264"/>
      <c r="E58" s="192"/>
      <c r="F58" s="199"/>
      <c r="G58" s="310"/>
      <c r="H58" s="310"/>
      <c r="I58" s="391"/>
      <c r="J58" s="392"/>
    </row>
    <row r="59" spans="2:10" ht="16.2" thickBot="1" x14ac:dyDescent="0.35">
      <c r="B59" s="186"/>
      <c r="C59" s="201"/>
      <c r="D59" s="287"/>
      <c r="E59" s="187"/>
      <c r="F59" s="201"/>
      <c r="G59" s="311"/>
      <c r="H59" s="311"/>
      <c r="I59" s="389"/>
      <c r="J59" s="390"/>
    </row>
    <row r="60" spans="2:10" ht="5.55" customHeight="1" thickBot="1" x14ac:dyDescent="0.35">
      <c r="B60" s="322"/>
      <c r="C60" s="323"/>
      <c r="D60" s="324"/>
      <c r="E60" s="322"/>
      <c r="F60" s="323"/>
      <c r="G60" s="325"/>
      <c r="H60" s="325"/>
      <c r="I60" s="325"/>
      <c r="J60" s="325"/>
    </row>
    <row r="61" spans="2:10" s="4" customFormat="1" ht="21" customHeight="1" thickBot="1" x14ac:dyDescent="0.35">
      <c r="B61" s="442" t="s">
        <v>225</v>
      </c>
      <c r="C61" s="442"/>
      <c r="D61" s="316">
        <f>SUM(C42:C48,C50:C55,C57:C59)</f>
        <v>195000</v>
      </c>
      <c r="E61" s="331" t="s">
        <v>222</v>
      </c>
      <c r="F61" s="328">
        <f>D61/D63</f>
        <v>1</v>
      </c>
      <c r="G61" s="329" t="s">
        <v>224</v>
      </c>
      <c r="H61" s="328">
        <f>SUM(C50:C55,C57:C59)/D63</f>
        <v>0.79487179487179482</v>
      </c>
      <c r="I61" s="330" t="s">
        <v>74</v>
      </c>
      <c r="J61" s="327">
        <f>SUM(C42:C48)/D63</f>
        <v>0.20512820512820512</v>
      </c>
    </row>
    <row r="62" spans="2:10" ht="4.05" customHeight="1" thickBot="1" x14ac:dyDescent="0.35">
      <c r="B62" s="321"/>
      <c r="F62" s="321"/>
      <c r="G62" s="321"/>
    </row>
    <row r="63" spans="2:10" ht="24.45" customHeight="1" thickBot="1" x14ac:dyDescent="0.35">
      <c r="B63" s="440" t="s">
        <v>209</v>
      </c>
      <c r="C63" s="384"/>
      <c r="D63" s="393">
        <f>E35+D61</f>
        <v>195000</v>
      </c>
      <c r="E63" s="394"/>
      <c r="F63" s="384" t="s">
        <v>77</v>
      </c>
      <c r="G63" s="384"/>
      <c r="H63" s="384"/>
      <c r="I63" s="382">
        <f>SUM(F42:F48,F50:F55,F57:F59)</f>
        <v>0</v>
      </c>
      <c r="J63" s="383"/>
    </row>
    <row r="64" spans="2:10" ht="3" customHeight="1" thickBot="1" x14ac:dyDescent="0.35">
      <c r="B64" s="267"/>
      <c r="C64" s="267"/>
      <c r="D64" s="305"/>
      <c r="E64" s="265"/>
      <c r="F64" s="306"/>
      <c r="G64" s="306"/>
      <c r="H64" s="256"/>
      <c r="I64" s="265"/>
      <c r="J64" s="265"/>
    </row>
    <row r="65" spans="2:10" ht="16.2" thickBot="1" x14ac:dyDescent="0.35">
      <c r="B65" s="444" t="s">
        <v>39</v>
      </c>
      <c r="C65" s="445"/>
      <c r="D65" s="445"/>
      <c r="E65" s="445"/>
      <c r="F65" s="445"/>
      <c r="G65" s="445"/>
      <c r="H65" s="445"/>
      <c r="I65" s="445"/>
      <c r="J65" s="446"/>
    </row>
    <row r="66" spans="2:10" x14ac:dyDescent="0.3">
      <c r="B66" s="439"/>
      <c r="C66" s="439"/>
      <c r="D66" s="439"/>
      <c r="E66" s="439"/>
      <c r="F66" s="439"/>
      <c r="G66" s="439"/>
      <c r="H66" s="439"/>
      <c r="I66" s="6"/>
      <c r="J66" s="6"/>
    </row>
    <row r="67" spans="2:10" x14ac:dyDescent="0.3">
      <c r="B67" s="6"/>
      <c r="C67" s="163"/>
      <c r="D67" s="6"/>
      <c r="E67" s="6"/>
      <c r="F67" s="163"/>
      <c r="G67" s="163"/>
      <c r="H67" s="164"/>
      <c r="I67" s="6"/>
      <c r="J67" s="6"/>
    </row>
    <row r="68" spans="2:10" x14ac:dyDescent="0.3">
      <c r="B68" s="138"/>
      <c r="C68" s="159"/>
      <c r="D68" s="138"/>
      <c r="E68" s="138"/>
      <c r="F68" s="159"/>
      <c r="G68" s="165"/>
      <c r="H68" s="166"/>
      <c r="I68" s="6"/>
      <c r="J68" s="6"/>
    </row>
    <row r="69" spans="2:10" x14ac:dyDescent="0.3">
      <c r="B69" s="138"/>
      <c r="C69" s="159"/>
      <c r="D69" s="138"/>
      <c r="E69" s="138"/>
      <c r="F69" s="159"/>
      <c r="G69" s="165"/>
      <c r="H69" s="166"/>
      <c r="I69" s="6"/>
      <c r="J69" s="6"/>
    </row>
    <row r="70" spans="2:10" x14ac:dyDescent="0.3">
      <c r="B70" s="138"/>
      <c r="C70" s="159"/>
      <c r="D70" s="138"/>
      <c r="E70" s="138"/>
      <c r="F70" s="159"/>
      <c r="G70" s="165"/>
      <c r="H70" s="166"/>
      <c r="I70" s="167"/>
      <c r="J70" s="6"/>
    </row>
    <row r="71" spans="2:10" x14ac:dyDescent="0.3">
      <c r="B71" s="425"/>
      <c r="C71" s="425"/>
      <c r="D71" s="426"/>
      <c r="E71" s="426"/>
      <c r="F71" s="163"/>
      <c r="G71" s="163"/>
      <c r="H71" s="164"/>
      <c r="I71" s="6"/>
      <c r="J71" s="6"/>
    </row>
    <row r="72" spans="2:10" ht="3.45" customHeight="1" x14ac:dyDescent="0.3">
      <c r="B72" s="6"/>
      <c r="C72" s="163"/>
      <c r="D72" s="6"/>
      <c r="E72" s="6"/>
      <c r="F72" s="163"/>
      <c r="G72" s="163"/>
      <c r="H72" s="164"/>
      <c r="I72" s="6"/>
      <c r="J72" s="6"/>
    </row>
    <row r="73" spans="2:10" x14ac:dyDescent="0.3">
      <c r="B73" s="438"/>
      <c r="C73" s="438"/>
      <c r="D73" s="438"/>
      <c r="E73" s="438"/>
      <c r="F73" s="438"/>
      <c r="G73" s="438"/>
      <c r="H73" s="438"/>
      <c r="I73" s="438"/>
      <c r="J73" s="6"/>
    </row>
    <row r="74" spans="2:10" x14ac:dyDescent="0.3">
      <c r="B74" s="158"/>
      <c r="C74" s="6"/>
      <c r="D74" s="6"/>
      <c r="E74" s="6"/>
      <c r="F74" s="6"/>
      <c r="G74" s="6"/>
      <c r="H74" s="6"/>
      <c r="I74" s="6"/>
      <c r="J74" s="6"/>
    </row>
    <row r="75" spans="2:10" x14ac:dyDescent="0.3">
      <c r="B75" s="158"/>
      <c r="C75" s="6"/>
      <c r="D75" s="6"/>
      <c r="E75" s="6"/>
      <c r="F75" s="6"/>
      <c r="G75" s="6"/>
      <c r="H75" s="6"/>
      <c r="I75" s="6"/>
      <c r="J75" s="6"/>
    </row>
  </sheetData>
  <mergeCells count="63">
    <mergeCell ref="B73:I73"/>
    <mergeCell ref="B66:H66"/>
    <mergeCell ref="B63:C63"/>
    <mergeCell ref="H35:I35"/>
    <mergeCell ref="B35:C35"/>
    <mergeCell ref="B61:C61"/>
    <mergeCell ref="B37:J38"/>
    <mergeCell ref="I59:J59"/>
    <mergeCell ref="I58:J58"/>
    <mergeCell ref="I57:J57"/>
    <mergeCell ref="I53:J53"/>
    <mergeCell ref="I52:J52"/>
    <mergeCell ref="I51:J51"/>
    <mergeCell ref="I42:J42"/>
    <mergeCell ref="I40:J40"/>
    <mergeCell ref="B65:J65"/>
    <mergeCell ref="H23:J23"/>
    <mergeCell ref="B16:C16"/>
    <mergeCell ref="B15:C15"/>
    <mergeCell ref="B71:C71"/>
    <mergeCell ref="D71:E71"/>
    <mergeCell ref="F33:H33"/>
    <mergeCell ref="B20:C20"/>
    <mergeCell ref="B24:C24"/>
    <mergeCell ref="B22:C22"/>
    <mergeCell ref="B23:C23"/>
    <mergeCell ref="B28:C28"/>
    <mergeCell ref="B31:C31"/>
    <mergeCell ref="B30:C30"/>
    <mergeCell ref="I33:J33"/>
    <mergeCell ref="I55:J55"/>
    <mergeCell ref="B2:J3"/>
    <mergeCell ref="B5:J5"/>
    <mergeCell ref="B10:J10"/>
    <mergeCell ref="B18:J18"/>
    <mergeCell ref="B26:J26"/>
    <mergeCell ref="H22:J22"/>
    <mergeCell ref="H20:J20"/>
    <mergeCell ref="B7:B8"/>
    <mergeCell ref="C8:D8"/>
    <mergeCell ref="C7:D7"/>
    <mergeCell ref="I8:J8"/>
    <mergeCell ref="I7:J7"/>
    <mergeCell ref="B14:C14"/>
    <mergeCell ref="B13:C13"/>
    <mergeCell ref="B11:C11"/>
    <mergeCell ref="H24:J24"/>
    <mergeCell ref="D33:E33"/>
    <mergeCell ref="B33:C33"/>
    <mergeCell ref="I44:J44"/>
    <mergeCell ref="I63:J63"/>
    <mergeCell ref="F63:H63"/>
    <mergeCell ref="B41:J41"/>
    <mergeCell ref="I54:J54"/>
    <mergeCell ref="I46:J46"/>
    <mergeCell ref="I47:J47"/>
    <mergeCell ref="I50:J50"/>
    <mergeCell ref="B49:J49"/>
    <mergeCell ref="I48:J48"/>
    <mergeCell ref="I45:J45"/>
    <mergeCell ref="I43:J43"/>
    <mergeCell ref="B56:J56"/>
    <mergeCell ref="D63:E63"/>
  </mergeCells>
  <dataValidations count="2">
    <dataValidation type="list" allowBlank="1" showInputMessage="1" showErrorMessage="1" sqref="B30:B31" xr:uid="{3D161660-D140-4743-A4D6-54F82D4A80E5}">
      <formula1>"Changement RP,Travaux,Investissement,Autre"</formula1>
    </dataValidation>
    <dataValidation type="list" allowBlank="1" showInputMessage="1" showErrorMessage="1" sqref="H68:H70 H64" xr:uid="{DAEA72D6-35C5-4136-8E3A-55D3ACD20A83}">
      <formula1>$B$36:$B$36</formula1>
    </dataValidation>
  </dataValidation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H27" sqref="H27"/>
    </sheetView>
  </sheetViews>
  <sheetFormatPr baseColWidth="10" defaultColWidth="11" defaultRowHeight="15.6" x14ac:dyDescent="0.3"/>
  <cols>
    <col min="1" max="1" width="6.19921875" customWidth="1"/>
    <col min="2" max="2" width="14.5" style="4" customWidth="1"/>
    <col min="3" max="3" width="13.5" bestFit="1" customWidth="1"/>
    <col min="4" max="4" width="14" bestFit="1" customWidth="1"/>
    <col min="5" max="5" width="14.69921875" bestFit="1" customWidth="1"/>
    <col min="6" max="7" width="12.796875" customWidth="1"/>
    <col min="10" max="10" width="12.19921875" customWidth="1"/>
    <col min="11" max="11" width="13.19921875" customWidth="1"/>
    <col min="12" max="12" width="14.796875" customWidth="1"/>
  </cols>
  <sheetData>
    <row r="1" spans="2:12" ht="3" customHeight="1" thickBot="1" x14ac:dyDescent="0.35"/>
    <row r="2" spans="2:12" ht="19.95" customHeight="1" x14ac:dyDescent="0.3">
      <c r="B2" s="395" t="s">
        <v>78</v>
      </c>
      <c r="C2" s="396"/>
      <c r="D2" s="396"/>
      <c r="E2" s="396"/>
      <c r="F2" s="397"/>
      <c r="G2" s="178"/>
      <c r="H2" s="178"/>
      <c r="I2" s="178"/>
      <c r="J2" s="178"/>
      <c r="K2" s="178"/>
    </row>
    <row r="3" spans="2:12" ht="19.95" customHeight="1" thickBot="1" x14ac:dyDescent="0.35">
      <c r="B3" s="398"/>
      <c r="C3" s="399"/>
      <c r="D3" s="399"/>
      <c r="E3" s="399"/>
      <c r="F3" s="400"/>
      <c r="G3" s="178"/>
      <c r="H3" s="178"/>
      <c r="I3" s="178"/>
      <c r="J3" s="178"/>
      <c r="K3" s="178"/>
    </row>
    <row r="4" spans="2:12" ht="4.2" customHeight="1" thickBot="1" x14ac:dyDescent="0.35"/>
    <row r="5" spans="2:12" ht="12" customHeight="1" x14ac:dyDescent="0.3">
      <c r="B5" s="340" t="s">
        <v>52</v>
      </c>
      <c r="C5" s="341"/>
      <c r="D5" s="341"/>
      <c r="E5" s="341"/>
      <c r="F5" s="448"/>
      <c r="I5" s="190"/>
      <c r="J5" s="190"/>
    </row>
    <row r="6" spans="2:12" ht="12" customHeight="1" thickBot="1" x14ac:dyDescent="0.35">
      <c r="B6" s="449"/>
      <c r="C6" s="450"/>
      <c r="D6" s="450"/>
      <c r="E6" s="450"/>
      <c r="F6" s="451"/>
      <c r="I6" s="161"/>
      <c r="J6" s="161"/>
    </row>
    <row r="7" spans="2:12" ht="15" customHeight="1" thickBot="1" x14ac:dyDescent="0.35">
      <c r="B7" s="454" t="s">
        <v>53</v>
      </c>
      <c r="C7" s="455"/>
      <c r="D7" s="219" t="s">
        <v>54</v>
      </c>
      <c r="E7" s="219" t="s">
        <v>79</v>
      </c>
      <c r="F7" s="220" t="s">
        <v>80</v>
      </c>
    </row>
    <row r="8" spans="2:12" ht="15" customHeight="1" thickBot="1" x14ac:dyDescent="0.35">
      <c r="B8" s="452" t="s">
        <v>195</v>
      </c>
      <c r="C8" s="453"/>
      <c r="D8" s="181">
        <v>250000</v>
      </c>
      <c r="E8" s="181">
        <f>D8*0.015</f>
        <v>3750</v>
      </c>
      <c r="F8" s="196"/>
    </row>
    <row r="9" spans="2:12" ht="3" customHeight="1" thickBot="1" x14ac:dyDescent="0.35">
      <c r="B9" s="172"/>
      <c r="C9" s="173"/>
      <c r="D9" s="173"/>
      <c r="E9" s="174"/>
      <c r="F9" s="174"/>
    </row>
    <row r="10" spans="2:12" ht="16.2" thickBot="1" x14ac:dyDescent="0.35">
      <c r="B10" s="385" t="s">
        <v>51</v>
      </c>
      <c r="C10" s="386"/>
      <c r="D10" s="386"/>
      <c r="E10" s="386"/>
      <c r="F10" s="401"/>
    </row>
    <row r="11" spans="2:12" ht="6" customHeight="1" thickBot="1" x14ac:dyDescent="0.35"/>
    <row r="12" spans="2:12" ht="26.55" customHeight="1" thickBot="1" x14ac:dyDescent="0.35">
      <c r="B12" s="410" t="s">
        <v>81</v>
      </c>
      <c r="C12" s="404"/>
      <c r="D12" s="221" t="s">
        <v>54</v>
      </c>
      <c r="E12" s="221" t="s">
        <v>79</v>
      </c>
      <c r="F12" s="222" t="s">
        <v>82</v>
      </c>
      <c r="L12" s="190"/>
    </row>
    <row r="13" spans="2:12" ht="3" customHeight="1" thickBot="1" x14ac:dyDescent="0.35">
      <c r="B13" s="175"/>
      <c r="F13" s="176"/>
      <c r="L13" s="6"/>
    </row>
    <row r="14" spans="2:12" x14ac:dyDescent="0.3">
      <c r="B14" s="429" t="s">
        <v>83</v>
      </c>
      <c r="C14" s="430"/>
      <c r="D14" s="197">
        <v>450000</v>
      </c>
      <c r="E14" s="197">
        <f>IF(ISBLANK(D14),0,D14*0.015)</f>
        <v>6750</v>
      </c>
      <c r="F14" s="198"/>
      <c r="L14" s="6"/>
    </row>
    <row r="15" spans="2:12" x14ac:dyDescent="0.3">
      <c r="B15" s="431"/>
      <c r="C15" s="432"/>
      <c r="D15" s="199"/>
      <c r="E15" s="199">
        <f t="shared" ref="E15:E17" si="0">IF(ISBLANK(D15),0,D15*0.015)</f>
        <v>0</v>
      </c>
      <c r="F15" s="200"/>
      <c r="L15" s="6"/>
    </row>
    <row r="16" spans="2:12" x14ac:dyDescent="0.3">
      <c r="B16" s="431"/>
      <c r="C16" s="432"/>
      <c r="D16" s="199"/>
      <c r="E16" s="199">
        <f t="shared" si="0"/>
        <v>0</v>
      </c>
      <c r="F16" s="200"/>
      <c r="L16" s="6"/>
    </row>
    <row r="17" spans="2:12" ht="16.2" thickBot="1" x14ac:dyDescent="0.35">
      <c r="B17" s="427"/>
      <c r="C17" s="428"/>
      <c r="D17" s="201"/>
      <c r="E17" s="201">
        <f t="shared" si="0"/>
        <v>0</v>
      </c>
      <c r="F17" s="202"/>
      <c r="L17" s="157"/>
    </row>
    <row r="18" spans="2:12" ht="6" customHeight="1" thickBot="1" x14ac:dyDescent="0.35"/>
    <row r="19" spans="2:12" ht="16.2" thickBot="1" x14ac:dyDescent="0.35">
      <c r="B19" s="385" t="s">
        <v>84</v>
      </c>
      <c r="C19" s="386"/>
      <c r="D19" s="386"/>
      <c r="E19" s="386"/>
      <c r="F19" s="401"/>
    </row>
    <row r="20" spans="2:12" ht="6" customHeight="1" thickBot="1" x14ac:dyDescent="0.35">
      <c r="B20"/>
    </row>
    <row r="21" spans="2:12" ht="27" customHeight="1" thickBot="1" x14ac:dyDescent="0.35">
      <c r="B21" s="168" t="s">
        <v>85</v>
      </c>
      <c r="C21" s="169" t="s">
        <v>86</v>
      </c>
      <c r="D21" s="170" t="s">
        <v>87</v>
      </c>
      <c r="E21" s="169" t="s">
        <v>88</v>
      </c>
      <c r="F21" s="171" t="s">
        <v>89</v>
      </c>
    </row>
    <row r="22" spans="2:12" ht="16.2" thickBot="1" x14ac:dyDescent="0.35">
      <c r="B22" s="180">
        <v>0.5</v>
      </c>
      <c r="C22" s="179">
        <v>2</v>
      </c>
      <c r="D22" s="181">
        <f>('Etat Civil'!H8+'Etat Civil'!H14+'Etat Civil'!H10+'Etat Civil'!H16)*'Prévision retraite'!B22+'Etat Civil'!H9+'Etat Civil'!H15+(SUM(F14:F17)*12)*0.8</f>
        <v>51975</v>
      </c>
      <c r="E22" s="181">
        <f>'Impôt Retraite'!D14</f>
        <v>3685.8500000000004</v>
      </c>
      <c r="F22" s="182">
        <f>SUM(E8,E14:E17)</f>
        <v>10500</v>
      </c>
      <c r="G22" s="190"/>
      <c r="H22" s="190"/>
      <c r="I22" s="425"/>
      <c r="J22" s="425"/>
    </row>
    <row r="23" spans="2:12" ht="6.45" customHeight="1" thickBot="1" x14ac:dyDescent="0.35">
      <c r="B23"/>
      <c r="F23" s="162"/>
      <c r="G23" s="6"/>
      <c r="H23" s="6"/>
      <c r="I23" s="6"/>
      <c r="J23" s="6"/>
    </row>
    <row r="24" spans="2:12" ht="17.55" customHeight="1" x14ac:dyDescent="0.3">
      <c r="B24" s="456" t="s">
        <v>90</v>
      </c>
      <c r="C24" s="457"/>
      <c r="D24" s="458"/>
      <c r="E24" s="223">
        <f>D22-F22-E22</f>
        <v>37789.15</v>
      </c>
      <c r="F24" s="183" t="str">
        <f>ROUND((E24/12),0)&amp;"€/mois"</f>
        <v>3149€/mois</v>
      </c>
      <c r="G24" s="160"/>
      <c r="H24" s="159"/>
      <c r="I24" s="447"/>
      <c r="J24" s="447"/>
    </row>
    <row r="25" spans="2:12" ht="16.95" customHeight="1" thickBot="1" x14ac:dyDescent="0.35">
      <c r="B25" s="462" t="s">
        <v>91</v>
      </c>
      <c r="C25" s="463"/>
      <c r="D25" s="464"/>
      <c r="E25" s="224" t="e">
        <f>E24-C30</f>
        <v>#REF!</v>
      </c>
      <c r="F25" s="184" t="e">
        <f>ROUND((E25/12),0)&amp;"€/mois"</f>
        <v>#REF!</v>
      </c>
    </row>
    <row r="26" spans="2:12" ht="3" customHeight="1" thickBot="1" x14ac:dyDescent="0.35">
      <c r="B26" s="139"/>
      <c r="C26" s="159"/>
      <c r="D26" s="138"/>
      <c r="E26" s="138"/>
      <c r="F26" s="138"/>
      <c r="G26" s="160"/>
      <c r="H26" s="159"/>
      <c r="I26" s="447"/>
      <c r="J26" s="447"/>
    </row>
    <row r="27" spans="2:12" ht="16.95" customHeight="1" thickBot="1" x14ac:dyDescent="0.35">
      <c r="B27" s="459" t="s">
        <v>39</v>
      </c>
      <c r="C27" s="460"/>
      <c r="D27" s="460"/>
      <c r="E27" s="460"/>
      <c r="F27" s="461"/>
      <c r="G27" s="177"/>
      <c r="H27" s="177"/>
      <c r="I27" s="177"/>
      <c r="J27" s="177"/>
      <c r="K27" s="177"/>
    </row>
    <row r="28" spans="2:12" ht="4.2" customHeight="1" x14ac:dyDescent="0.3"/>
    <row r="29" spans="2:12" ht="13.2" customHeight="1" x14ac:dyDescent="0.3">
      <c r="B29" s="438"/>
      <c r="C29" s="438"/>
      <c r="D29" s="438"/>
      <c r="E29" s="438"/>
      <c r="F29" s="438"/>
      <c r="G29" s="438"/>
      <c r="H29" s="438"/>
      <c r="I29" s="438"/>
      <c r="J29" s="438"/>
      <c r="K29" s="438"/>
    </row>
    <row r="30" spans="2:12" hidden="1" x14ac:dyDescent="0.3">
      <c r="B30" s="4" t="s">
        <v>194</v>
      </c>
      <c r="C30" s="195" t="e">
        <f>('Etat Civil'!H8+'Etat Civil'!H14+'Etat Civil'!H10+'Etat Civil'!H16)-'Etat Civil'!G30-('Principaux objectifs'!F5*12)+(SUM('Situation Patrimoniale'!I13:I16)*0.8)*12-SUM('Situation Patrimoniale'!H13:H16)*12-SUM('Situation Patrimoniale'!G22:G24)*12-IF('Situation Patrimoniale'!B30="Changement RP",'Situation Patrimoniale'!H30*12,IF('Situation Patrimoniale'!B31="Changement RP",'Situation Patrimoniale'!H31*12,'Situation Patrimoniale'!#REF!*12))</f>
        <v>#REF!</v>
      </c>
    </row>
  </sheetData>
  <mergeCells count="18">
    <mergeCell ref="B17:C17"/>
    <mergeCell ref="B16:C16"/>
    <mergeCell ref="B15:C15"/>
    <mergeCell ref="B14:C14"/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G29" sqref="G29"/>
    </sheetView>
  </sheetViews>
  <sheetFormatPr baseColWidth="10" defaultColWidth="11" defaultRowHeight="15.6" x14ac:dyDescent="0.3"/>
  <cols>
    <col min="1" max="1" width="6.19921875" customWidth="1"/>
    <col min="2" max="2" width="11.19921875" style="4"/>
    <col min="3" max="3" width="14.19921875" bestFit="1" customWidth="1"/>
    <col min="4" max="4" width="14" bestFit="1" customWidth="1"/>
    <col min="5" max="5" width="15.296875" customWidth="1"/>
    <col min="6" max="6" width="12.69921875" customWidth="1"/>
    <col min="8" max="8" width="11.69921875" bestFit="1" customWidth="1"/>
    <col min="9" max="9" width="12.19921875" customWidth="1"/>
    <col min="10" max="10" width="1.296875" customWidth="1"/>
    <col min="11" max="11" width="12.296875" customWidth="1"/>
    <col min="12" max="12" width="20.796875" customWidth="1"/>
    <col min="13" max="13" width="14.796875" customWidth="1"/>
  </cols>
  <sheetData>
    <row r="1" spans="2:13" ht="3" customHeight="1" thickBot="1" x14ac:dyDescent="0.35"/>
    <row r="2" spans="2:13" ht="19.95" customHeight="1" x14ac:dyDescent="0.3">
      <c r="B2" s="395" t="s">
        <v>92</v>
      </c>
      <c r="C2" s="396"/>
      <c r="D2" s="396"/>
      <c r="E2" s="396"/>
      <c r="F2" s="396"/>
      <c r="G2" s="396"/>
      <c r="H2" s="396"/>
      <c r="I2" s="396"/>
      <c r="J2" s="396"/>
      <c r="K2" s="396"/>
      <c r="L2" s="397"/>
    </row>
    <row r="3" spans="2:13" ht="19.95" customHeight="1" thickBot="1" x14ac:dyDescent="0.35">
      <c r="B3" s="398"/>
      <c r="C3" s="399"/>
      <c r="D3" s="399"/>
      <c r="E3" s="399"/>
      <c r="F3" s="399"/>
      <c r="G3" s="399"/>
      <c r="H3" s="399"/>
      <c r="I3" s="399"/>
      <c r="J3" s="399"/>
      <c r="K3" s="399"/>
      <c r="L3" s="400"/>
    </row>
    <row r="4" spans="2:13" ht="4.2" customHeight="1" x14ac:dyDescent="0.3"/>
    <row r="5" spans="2:13" x14ac:dyDescent="0.3">
      <c r="B5" s="379" t="s">
        <v>93</v>
      </c>
      <c r="C5" s="379"/>
      <c r="D5" s="379"/>
      <c r="E5" s="379"/>
      <c r="F5" s="379"/>
      <c r="G5" s="379"/>
      <c r="H5" s="379"/>
      <c r="I5" s="379"/>
      <c r="J5" s="379"/>
      <c r="K5" s="379"/>
      <c r="L5" s="379"/>
    </row>
    <row r="6" spans="2:13" ht="6" customHeight="1" thickBot="1" x14ac:dyDescent="0.35"/>
    <row r="7" spans="2:13" ht="16.2" thickBot="1" x14ac:dyDescent="0.35">
      <c r="B7" s="218" t="s">
        <v>81</v>
      </c>
      <c r="C7" s="219" t="s">
        <v>54</v>
      </c>
      <c r="D7" s="219" t="s">
        <v>20</v>
      </c>
      <c r="E7" s="219" t="s">
        <v>94</v>
      </c>
      <c r="F7" s="219" t="s">
        <v>95</v>
      </c>
      <c r="G7" s="219" t="s">
        <v>56</v>
      </c>
      <c r="H7" s="219" t="s">
        <v>59</v>
      </c>
      <c r="I7" s="219" t="s">
        <v>66</v>
      </c>
      <c r="J7" s="455" t="s">
        <v>70</v>
      </c>
      <c r="K7" s="455"/>
      <c r="L7" s="220" t="s">
        <v>96</v>
      </c>
      <c r="M7" s="220" t="s">
        <v>97</v>
      </c>
    </row>
    <row r="8" spans="2:13" ht="4.95" customHeight="1" thickBot="1" x14ac:dyDescent="0.35">
      <c r="K8" s="1"/>
    </row>
    <row r="9" spans="2:13" x14ac:dyDescent="0.3">
      <c r="B9" s="188"/>
      <c r="C9" s="203"/>
      <c r="D9" s="203"/>
      <c r="E9" s="203"/>
      <c r="F9" s="97"/>
      <c r="G9" s="97"/>
      <c r="H9" s="206"/>
      <c r="I9" s="121"/>
      <c r="J9" s="466"/>
      <c r="K9" s="467"/>
      <c r="L9" s="211"/>
    </row>
    <row r="10" spans="2:13" x14ac:dyDescent="0.3">
      <c r="B10" s="191"/>
      <c r="C10" s="204"/>
      <c r="D10" s="204"/>
      <c r="E10" s="204"/>
      <c r="F10" s="112"/>
      <c r="G10" s="112"/>
      <c r="H10" s="207"/>
      <c r="I10" s="122"/>
      <c r="J10" s="468"/>
      <c r="K10" s="469"/>
      <c r="L10" s="212"/>
    </row>
    <row r="11" spans="2:13" ht="16.2" thickBot="1" x14ac:dyDescent="0.35">
      <c r="B11" s="191"/>
      <c r="C11" s="204"/>
      <c r="D11" s="204"/>
      <c r="E11" s="204"/>
      <c r="F11" s="98"/>
      <c r="G11" s="98"/>
      <c r="H11" s="208"/>
      <c r="I11" s="20"/>
      <c r="J11" s="470"/>
      <c r="K11" s="470"/>
      <c r="L11" s="212"/>
    </row>
    <row r="12" spans="2:13" ht="16.2" thickBot="1" x14ac:dyDescent="0.35">
      <c r="B12" s="186"/>
      <c r="C12" s="205"/>
      <c r="D12" s="205"/>
      <c r="E12" s="205"/>
      <c r="F12" s="99"/>
      <c r="G12" s="99"/>
      <c r="H12" s="209"/>
      <c r="I12" s="19"/>
      <c r="J12" s="471"/>
      <c r="K12" s="471"/>
      <c r="L12" s="213"/>
      <c r="M12" s="210"/>
    </row>
    <row r="13" spans="2:13" ht="11.55" customHeight="1" thickBot="1" x14ac:dyDescent="0.35"/>
    <row r="14" spans="2:13" ht="16.2" thickBot="1" x14ac:dyDescent="0.35">
      <c r="B14" s="385" t="s">
        <v>98</v>
      </c>
      <c r="C14" s="386"/>
      <c r="D14" s="386"/>
      <c r="E14" s="386"/>
      <c r="F14" s="386"/>
      <c r="G14" s="386"/>
      <c r="H14" s="386"/>
      <c r="I14" s="386"/>
      <c r="J14" s="386"/>
      <c r="K14" s="386"/>
      <c r="L14" s="401"/>
    </row>
    <row r="15" spans="2:13" ht="6" customHeight="1" thickBot="1" x14ac:dyDescent="0.35"/>
    <row r="16" spans="2:13" ht="16.2" thickBot="1" x14ac:dyDescent="0.35">
      <c r="B16" s="218" t="s">
        <v>81</v>
      </c>
      <c r="C16" s="219" t="s">
        <v>54</v>
      </c>
      <c r="D16" s="219" t="s">
        <v>20</v>
      </c>
      <c r="E16" s="219" t="s">
        <v>94</v>
      </c>
      <c r="F16" s="219" t="s">
        <v>95</v>
      </c>
      <c r="G16" s="219" t="s">
        <v>56</v>
      </c>
      <c r="H16" s="219" t="s">
        <v>59</v>
      </c>
      <c r="I16" s="219" t="s">
        <v>66</v>
      </c>
      <c r="J16" s="455" t="s">
        <v>70</v>
      </c>
      <c r="K16" s="455"/>
      <c r="L16" s="220" t="s">
        <v>96</v>
      </c>
      <c r="M16" s="220" t="s">
        <v>97</v>
      </c>
    </row>
    <row r="17" spans="2:13" ht="4.95" customHeight="1" thickBot="1" x14ac:dyDescent="0.35">
      <c r="K17" s="1"/>
    </row>
    <row r="18" spans="2:13" ht="16.95" customHeight="1" x14ac:dyDescent="0.3">
      <c r="B18" s="188"/>
      <c r="C18" s="203"/>
      <c r="D18" s="203"/>
      <c r="E18" s="203"/>
      <c r="F18" s="97"/>
      <c r="G18" s="97"/>
      <c r="H18" s="206"/>
      <c r="I18" s="121"/>
      <c r="J18" s="466"/>
      <c r="K18" s="467"/>
      <c r="L18" s="211"/>
    </row>
    <row r="19" spans="2:13" ht="16.95" customHeight="1" x14ac:dyDescent="0.3">
      <c r="B19" s="191"/>
      <c r="C19" s="204"/>
      <c r="D19" s="204"/>
      <c r="E19" s="204"/>
      <c r="F19" s="112"/>
      <c r="G19" s="112"/>
      <c r="H19" s="207"/>
      <c r="I19" s="122"/>
      <c r="J19" s="468"/>
      <c r="K19" s="469"/>
      <c r="L19" s="212"/>
    </row>
    <row r="20" spans="2:13" ht="16.95" customHeight="1" thickBot="1" x14ac:dyDescent="0.35">
      <c r="B20" s="191"/>
      <c r="C20" s="204"/>
      <c r="D20" s="204"/>
      <c r="E20" s="204"/>
      <c r="F20" s="98"/>
      <c r="G20" s="98"/>
      <c r="H20" s="208"/>
      <c r="I20" s="20"/>
      <c r="J20" s="470"/>
      <c r="K20" s="470"/>
      <c r="L20" s="212"/>
    </row>
    <row r="21" spans="2:13" ht="16.2" thickBot="1" x14ac:dyDescent="0.35">
      <c r="B21" s="186"/>
      <c r="C21" s="205"/>
      <c r="D21" s="205"/>
      <c r="E21" s="205"/>
      <c r="F21" s="99"/>
      <c r="G21" s="99"/>
      <c r="H21" s="209"/>
      <c r="I21" s="19"/>
      <c r="J21" s="471"/>
      <c r="K21" s="471"/>
      <c r="L21" s="213"/>
      <c r="M21" s="210"/>
    </row>
    <row r="22" spans="2:13" ht="4.2" customHeight="1" x14ac:dyDescent="0.3"/>
    <row r="23" spans="2:13" ht="13.2" customHeight="1" x14ac:dyDescent="0.3">
      <c r="B23" s="465" t="s">
        <v>39</v>
      </c>
      <c r="C23" s="465"/>
      <c r="D23" s="465"/>
      <c r="E23" s="465"/>
      <c r="F23" s="465"/>
      <c r="G23" s="465"/>
      <c r="H23" s="465"/>
      <c r="I23" s="465"/>
      <c r="J23" s="465"/>
      <c r="K23" s="465"/>
      <c r="L23" s="465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19921875" customWidth="1"/>
    <col min="2" max="2" width="23.19921875" customWidth="1"/>
    <col min="3" max="3" width="16.69921875" style="5" customWidth="1"/>
    <col min="4" max="4" width="16.19921875" customWidth="1"/>
    <col min="5" max="5" width="18.19921875" customWidth="1"/>
    <col min="6" max="7" width="17.69921875" style="5" customWidth="1"/>
    <col min="8" max="8" width="17.69921875" style="8" customWidth="1"/>
    <col min="9" max="9" width="3.19921875" customWidth="1"/>
  </cols>
  <sheetData>
    <row r="1" spans="2:10" ht="2.5499999999999998" customHeight="1" thickBot="1" x14ac:dyDescent="0.35"/>
    <row r="2" spans="2:10" ht="15.45" customHeight="1" x14ac:dyDescent="0.3">
      <c r="B2" s="479" t="s">
        <v>68</v>
      </c>
      <c r="C2" s="480"/>
      <c r="D2" s="480"/>
      <c r="E2" s="480"/>
      <c r="F2" s="480"/>
      <c r="G2" s="480"/>
      <c r="H2" s="480"/>
      <c r="I2" s="480"/>
      <c r="J2" s="481"/>
    </row>
    <row r="3" spans="2:10" ht="16.2" customHeight="1" thickBot="1" x14ac:dyDescent="0.35">
      <c r="B3" s="482"/>
      <c r="C3" s="483"/>
      <c r="D3" s="483"/>
      <c r="E3" s="483"/>
      <c r="F3" s="483"/>
      <c r="G3" s="483"/>
      <c r="H3" s="483"/>
      <c r="I3" s="483"/>
      <c r="J3" s="484"/>
    </row>
    <row r="4" spans="2:10" ht="4.95" customHeight="1" thickBot="1" x14ac:dyDescent="0.35">
      <c r="C4" s="7"/>
      <c r="F4" s="7"/>
      <c r="G4" s="7"/>
      <c r="H4" s="9"/>
    </row>
    <row r="5" spans="2:10" ht="16.2" thickBot="1" x14ac:dyDescent="0.35">
      <c r="B5" s="193" t="s">
        <v>99</v>
      </c>
      <c r="C5" s="11" t="s">
        <v>54</v>
      </c>
      <c r="D5" s="194" t="s">
        <v>70</v>
      </c>
      <c r="E5" s="194" t="s">
        <v>100</v>
      </c>
      <c r="F5" s="12" t="s">
        <v>71</v>
      </c>
      <c r="G5" s="13" t="s">
        <v>72</v>
      </c>
      <c r="H5" s="14" t="s">
        <v>101</v>
      </c>
      <c r="I5" s="486" t="s">
        <v>102</v>
      </c>
      <c r="J5" s="487"/>
    </row>
    <row r="6" spans="2:10" ht="3.45" customHeight="1" thickBot="1" x14ac:dyDescent="0.35">
      <c r="C6" s="7"/>
      <c r="F6" s="7"/>
      <c r="G6" s="7"/>
      <c r="H6" s="9"/>
    </row>
    <row r="7" spans="2:10" ht="16.2" thickBot="1" x14ac:dyDescent="0.35">
      <c r="B7" s="344" t="s">
        <v>74</v>
      </c>
      <c r="C7" s="345"/>
      <c r="D7" s="345"/>
      <c r="E7" s="345"/>
      <c r="F7" s="345"/>
      <c r="G7" s="345"/>
      <c r="H7" s="346"/>
    </row>
    <row r="8" spans="2:10" ht="4.95" customHeight="1" thickBot="1" x14ac:dyDescent="0.35">
      <c r="C8" s="7"/>
      <c r="F8" s="7"/>
      <c r="G8" s="7"/>
      <c r="H8" s="9"/>
    </row>
    <row r="9" spans="2:10" x14ac:dyDescent="0.3">
      <c r="B9" s="91" t="s">
        <v>103</v>
      </c>
      <c r="C9" s="130">
        <v>50000</v>
      </c>
      <c r="D9" s="110"/>
      <c r="E9" s="100"/>
      <c r="F9" s="130">
        <v>50000</v>
      </c>
      <c r="G9" s="111"/>
      <c r="H9" s="102"/>
    </row>
    <row r="10" spans="2:10" x14ac:dyDescent="0.3">
      <c r="B10" s="92" t="s">
        <v>104</v>
      </c>
      <c r="C10" s="131">
        <v>2000</v>
      </c>
      <c r="D10" s="112"/>
      <c r="E10" s="98"/>
      <c r="F10" s="131">
        <v>2000</v>
      </c>
      <c r="G10" s="113"/>
      <c r="H10" s="104"/>
    </row>
    <row r="11" spans="2:10" ht="16.2" thickBot="1" x14ac:dyDescent="0.35">
      <c r="B11" s="114"/>
      <c r="C11" s="136"/>
      <c r="D11" s="115"/>
      <c r="E11" s="116"/>
      <c r="F11" s="136"/>
      <c r="G11" s="117"/>
      <c r="H11" s="118"/>
    </row>
    <row r="12" spans="2:10" ht="16.2" thickBot="1" x14ac:dyDescent="0.35">
      <c r="B12" s="93"/>
      <c r="C12" s="132"/>
      <c r="D12" s="119"/>
      <c r="E12" s="99"/>
      <c r="F12" s="132"/>
      <c r="G12" s="19"/>
      <c r="H12" s="120"/>
      <c r="I12" s="488">
        <f>SUM(F9:F12)</f>
        <v>52000</v>
      </c>
      <c r="J12" s="489"/>
    </row>
    <row r="13" spans="2:10" ht="4.95" customHeight="1" x14ac:dyDescent="0.3">
      <c r="C13" s="7"/>
      <c r="F13" s="7"/>
      <c r="G13" s="7"/>
      <c r="H13" s="9"/>
    </row>
    <row r="14" spans="2:10" x14ac:dyDescent="0.3">
      <c r="B14" s="485" t="s">
        <v>75</v>
      </c>
      <c r="C14" s="485"/>
      <c r="D14" s="485"/>
      <c r="E14" s="485"/>
      <c r="F14" s="485"/>
      <c r="G14" s="485"/>
      <c r="H14" s="485"/>
    </row>
    <row r="15" spans="2:10" ht="4.95" customHeight="1" thickBot="1" x14ac:dyDescent="0.35">
      <c r="C15" s="7"/>
      <c r="F15" s="7"/>
      <c r="G15" s="7"/>
      <c r="H15" s="9"/>
    </row>
    <row r="16" spans="2:10" x14ac:dyDescent="0.3">
      <c r="B16" s="91" t="s">
        <v>105</v>
      </c>
      <c r="C16" s="130">
        <v>25000</v>
      </c>
      <c r="D16" s="97" t="s">
        <v>106</v>
      </c>
      <c r="E16" s="97" t="s">
        <v>107</v>
      </c>
      <c r="F16" s="130">
        <v>20000</v>
      </c>
      <c r="G16" s="107" t="s">
        <v>108</v>
      </c>
      <c r="H16" s="102" t="s">
        <v>109</v>
      </c>
    </row>
    <row r="17" spans="2:10" x14ac:dyDescent="0.3">
      <c r="B17" s="92" t="s">
        <v>110</v>
      </c>
      <c r="C17" s="131">
        <v>10000</v>
      </c>
      <c r="D17" s="149">
        <v>4.4999999999999998E-2</v>
      </c>
      <c r="E17" s="150">
        <v>0.42857142857142855</v>
      </c>
      <c r="F17" s="131">
        <v>9000</v>
      </c>
      <c r="G17" s="108" t="s">
        <v>108</v>
      </c>
      <c r="H17" s="104" t="s">
        <v>109</v>
      </c>
    </row>
    <row r="18" spans="2:10" ht="16.2" thickBot="1" x14ac:dyDescent="0.35">
      <c r="B18" s="92" t="s">
        <v>111</v>
      </c>
      <c r="C18" s="131">
        <v>4000</v>
      </c>
      <c r="D18" s="112"/>
      <c r="E18" s="112"/>
      <c r="F18" s="131">
        <v>0</v>
      </c>
      <c r="G18" s="108" t="s">
        <v>112</v>
      </c>
      <c r="H18" s="104" t="s">
        <v>109</v>
      </c>
    </row>
    <row r="19" spans="2:10" ht="16.2" thickBot="1" x14ac:dyDescent="0.35">
      <c r="B19" s="93"/>
      <c r="C19" s="132"/>
      <c r="D19" s="119"/>
      <c r="E19" s="119"/>
      <c r="F19" s="132"/>
      <c r="G19" s="109"/>
      <c r="H19" s="106"/>
      <c r="I19" s="472">
        <f>SUM(F16:F19)</f>
        <v>29000</v>
      </c>
      <c r="J19" s="473"/>
    </row>
    <row r="20" spans="2:10" ht="4.95" customHeight="1" x14ac:dyDescent="0.3">
      <c r="C20" s="7"/>
      <c r="F20" s="7"/>
      <c r="G20" s="7"/>
      <c r="H20" s="9"/>
    </row>
    <row r="21" spans="2:10" x14ac:dyDescent="0.3">
      <c r="B21" s="485" t="s">
        <v>76</v>
      </c>
      <c r="C21" s="485"/>
      <c r="D21" s="485"/>
      <c r="E21" s="485"/>
      <c r="F21" s="485"/>
      <c r="G21" s="485"/>
      <c r="H21" s="485"/>
    </row>
    <row r="22" spans="2:10" ht="4.95" customHeight="1" thickBot="1" x14ac:dyDescent="0.35">
      <c r="C22" s="7"/>
      <c r="F22" s="7"/>
      <c r="G22" s="7"/>
      <c r="H22" s="9"/>
    </row>
    <row r="23" spans="2:10" x14ac:dyDescent="0.3">
      <c r="B23" s="91"/>
      <c r="C23" s="130"/>
      <c r="D23" s="100"/>
      <c r="E23" s="100"/>
      <c r="F23" s="130"/>
      <c r="G23" s="101"/>
      <c r="H23" s="102"/>
    </row>
    <row r="24" spans="2:10" ht="16.2" thickBot="1" x14ac:dyDescent="0.35">
      <c r="B24" s="92"/>
      <c r="C24" s="131"/>
      <c r="D24" s="98"/>
      <c r="E24" s="98"/>
      <c r="F24" s="131"/>
      <c r="G24" s="103"/>
      <c r="H24" s="104"/>
    </row>
    <row r="25" spans="2:10" ht="16.2" thickBot="1" x14ac:dyDescent="0.35">
      <c r="B25" s="93"/>
      <c r="C25" s="132"/>
      <c r="D25" s="99"/>
      <c r="E25" s="99"/>
      <c r="F25" s="132"/>
      <c r="G25" s="105"/>
      <c r="H25" s="106"/>
      <c r="I25" s="472">
        <f>SUM(F23:F25)</f>
        <v>0</v>
      </c>
      <c r="J25" s="473"/>
    </row>
    <row r="26" spans="2:10" ht="1.95" customHeight="1" thickBot="1" x14ac:dyDescent="0.35">
      <c r="C26" s="7"/>
      <c r="F26" s="7"/>
      <c r="G26" s="7"/>
      <c r="H26" s="9"/>
    </row>
    <row r="27" spans="2:10" ht="0.45" customHeight="1" thickBot="1" x14ac:dyDescent="0.35">
      <c r="C27" s="7"/>
      <c r="F27" s="7"/>
      <c r="G27" s="7"/>
      <c r="H27" s="9"/>
    </row>
    <row r="28" spans="2:10" ht="16.2" thickBot="1" x14ac:dyDescent="0.35">
      <c r="C28" s="7"/>
      <c r="F28" s="10" t="s">
        <v>113</v>
      </c>
      <c r="G28" s="450" t="s">
        <v>114</v>
      </c>
      <c r="H28" s="451"/>
      <c r="I28" s="477">
        <f>SUM(I12,I19,I25)</f>
        <v>81000</v>
      </c>
      <c r="J28" s="478"/>
    </row>
    <row r="29" spans="2:10" ht="10.95" customHeight="1" thickBot="1" x14ac:dyDescent="0.35">
      <c r="B29" s="474" t="s">
        <v>39</v>
      </c>
      <c r="C29" s="475"/>
      <c r="D29" s="475"/>
      <c r="E29" s="475"/>
      <c r="F29" s="475"/>
      <c r="G29" s="475"/>
      <c r="H29" s="475"/>
      <c r="I29" s="475"/>
      <c r="J29" s="476"/>
    </row>
    <row r="32" spans="2:10" hidden="1" x14ac:dyDescent="0.3">
      <c r="B32" t="s">
        <v>115</v>
      </c>
    </row>
    <row r="33" spans="2:2" hidden="1" x14ac:dyDescent="0.3">
      <c r="B33" t="s">
        <v>109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5"/>
  <sheetViews>
    <sheetView showGridLines="0" zoomScale="115" zoomScaleNormal="115" workbookViewId="0">
      <selection activeCell="B6" sqref="B6:G6"/>
    </sheetView>
  </sheetViews>
  <sheetFormatPr baseColWidth="10" defaultColWidth="11" defaultRowHeight="15.6" x14ac:dyDescent="0.3"/>
  <cols>
    <col min="1" max="1" width="5" customWidth="1"/>
    <col min="2" max="2" width="17.19921875" customWidth="1"/>
    <col min="3" max="3" width="19.19921875" customWidth="1"/>
    <col min="4" max="4" width="15.5" customWidth="1"/>
    <col min="7" max="7" width="13" customWidth="1"/>
  </cols>
  <sheetData>
    <row r="1" spans="2:7" ht="4.2" customHeight="1" thickBot="1" x14ac:dyDescent="0.35"/>
    <row r="2" spans="2:7" ht="19.95" customHeight="1" x14ac:dyDescent="0.3">
      <c r="B2" s="395" t="s">
        <v>116</v>
      </c>
      <c r="C2" s="396"/>
      <c r="D2" s="396"/>
      <c r="E2" s="396"/>
      <c r="F2" s="396"/>
      <c r="G2" s="397"/>
    </row>
    <row r="3" spans="2:7" ht="19.95" customHeight="1" thickBot="1" x14ac:dyDescent="0.35">
      <c r="B3" s="398"/>
      <c r="C3" s="399"/>
      <c r="D3" s="399"/>
      <c r="E3" s="399"/>
      <c r="F3" s="399"/>
      <c r="G3" s="400"/>
    </row>
    <row r="4" spans="2:7" ht="4.95" customHeight="1" thickBot="1" x14ac:dyDescent="0.35"/>
    <row r="5" spans="2:7" ht="16.95" customHeight="1" thickBot="1" x14ac:dyDescent="0.35">
      <c r="B5" s="497" t="s">
        <v>117</v>
      </c>
      <c r="C5" s="498"/>
      <c r="D5" s="498"/>
      <c r="E5" s="499"/>
      <c r="F5" s="490">
        <v>1000</v>
      </c>
      <c r="G5" s="491"/>
    </row>
    <row r="6" spans="2:7" ht="16.2" thickBot="1" x14ac:dyDescent="0.35">
      <c r="B6" s="385" t="s">
        <v>118</v>
      </c>
      <c r="C6" s="386"/>
      <c r="D6" s="386"/>
      <c r="E6" s="386"/>
      <c r="F6" s="386"/>
      <c r="G6" s="401"/>
    </row>
    <row r="7" spans="2:7" ht="4.95" customHeight="1" thickBot="1" x14ac:dyDescent="0.35"/>
    <row r="8" spans="2:7" ht="16.2" thickBot="1" x14ac:dyDescent="0.35">
      <c r="B8" s="216" t="s">
        <v>119</v>
      </c>
      <c r="C8" s="217" t="s">
        <v>120</v>
      </c>
      <c r="D8" s="217" t="s">
        <v>121</v>
      </c>
      <c r="E8" s="500" t="s">
        <v>30</v>
      </c>
      <c r="F8" s="500"/>
      <c r="G8" s="501"/>
    </row>
    <row r="9" spans="2:7" ht="6" customHeight="1" thickBot="1" x14ac:dyDescent="0.35"/>
    <row r="10" spans="2:7" ht="34.950000000000003" customHeight="1" x14ac:dyDescent="0.3">
      <c r="B10" s="124"/>
      <c r="C10" s="121"/>
      <c r="D10" s="189"/>
      <c r="E10" s="502"/>
      <c r="F10" s="502"/>
      <c r="G10" s="503"/>
    </row>
    <row r="11" spans="2:7" ht="37.799999999999997" customHeight="1" x14ac:dyDescent="0.3">
      <c r="B11" s="125"/>
      <c r="C11" s="122"/>
      <c r="D11" s="192"/>
      <c r="E11" s="504"/>
      <c r="F11" s="504"/>
      <c r="G11" s="505"/>
    </row>
    <row r="12" spans="2:7" ht="36.450000000000003" customHeight="1" x14ac:dyDescent="0.3">
      <c r="B12" s="125"/>
      <c r="C12" s="122"/>
      <c r="D12" s="192"/>
      <c r="E12" s="504"/>
      <c r="F12" s="504"/>
      <c r="G12" s="505"/>
    </row>
    <row r="13" spans="2:7" ht="16.2" thickBot="1" x14ac:dyDescent="0.35">
      <c r="B13" s="126"/>
      <c r="C13" s="123"/>
      <c r="D13" s="187"/>
      <c r="E13" s="495"/>
      <c r="F13" s="495"/>
      <c r="G13" s="496"/>
    </row>
    <row r="14" spans="2:7" ht="3" customHeight="1" x14ac:dyDescent="0.3"/>
    <row r="15" spans="2:7" x14ac:dyDescent="0.3">
      <c r="B15" s="379" t="s">
        <v>122</v>
      </c>
      <c r="C15" s="379"/>
      <c r="D15" s="379"/>
      <c r="E15" s="379"/>
      <c r="F15" s="379"/>
      <c r="G15" s="379"/>
    </row>
    <row r="16" spans="2:7" ht="6" customHeight="1" thickBot="1" x14ac:dyDescent="0.35"/>
    <row r="17" spans="2:7" ht="16.2" thickBot="1" x14ac:dyDescent="0.35">
      <c r="B17" s="216" t="s">
        <v>119</v>
      </c>
      <c r="C17" s="217" t="s">
        <v>120</v>
      </c>
      <c r="D17" s="217" t="s">
        <v>121</v>
      </c>
      <c r="E17" s="500" t="s">
        <v>30</v>
      </c>
      <c r="F17" s="500"/>
      <c r="G17" s="501"/>
    </row>
    <row r="18" spans="2:7" ht="6" customHeight="1" thickBot="1" x14ac:dyDescent="0.35"/>
    <row r="19" spans="2:7" x14ac:dyDescent="0.3">
      <c r="B19" s="124"/>
      <c r="C19" s="197"/>
      <c r="D19" s="189"/>
      <c r="E19" s="502"/>
      <c r="F19" s="502"/>
      <c r="G19" s="503"/>
    </row>
    <row r="20" spans="2:7" x14ac:dyDescent="0.3">
      <c r="B20" s="125"/>
      <c r="C20" s="199"/>
      <c r="D20" s="192"/>
      <c r="E20" s="492"/>
      <c r="F20" s="493"/>
      <c r="G20" s="494"/>
    </row>
    <row r="21" spans="2:7" x14ac:dyDescent="0.3">
      <c r="B21" s="125"/>
      <c r="C21" s="199"/>
      <c r="D21" s="192"/>
      <c r="E21" s="492"/>
      <c r="F21" s="493"/>
      <c r="G21" s="494"/>
    </row>
    <row r="22" spans="2:7" x14ac:dyDescent="0.3">
      <c r="B22" s="125"/>
      <c r="C22" s="199"/>
      <c r="D22" s="192"/>
      <c r="E22" s="492"/>
      <c r="F22" s="493"/>
      <c r="G22" s="494"/>
    </row>
    <row r="23" spans="2:7" ht="16.2" thickBot="1" x14ac:dyDescent="0.35">
      <c r="B23" s="126"/>
      <c r="C23" s="201"/>
      <c r="D23" s="187"/>
      <c r="E23" s="495"/>
      <c r="F23" s="495"/>
      <c r="G23" s="496"/>
    </row>
    <row r="24" spans="2:7" ht="3" customHeight="1" thickBot="1" x14ac:dyDescent="0.35"/>
    <row r="25" spans="2:7" ht="12" customHeight="1" thickBot="1" x14ac:dyDescent="0.35">
      <c r="B25" s="474" t="s">
        <v>39</v>
      </c>
      <c r="C25" s="475"/>
      <c r="D25" s="475"/>
      <c r="E25" s="475"/>
      <c r="F25" s="475"/>
      <c r="G25" s="476"/>
    </row>
  </sheetData>
  <mergeCells count="17">
    <mergeCell ref="B25:G25"/>
    <mergeCell ref="E13:G13"/>
    <mergeCell ref="B6:G6"/>
    <mergeCell ref="B15:G15"/>
    <mergeCell ref="E17:G17"/>
    <mergeCell ref="E19:G19"/>
    <mergeCell ref="E20:G20"/>
    <mergeCell ref="E8:G8"/>
    <mergeCell ref="E10:G10"/>
    <mergeCell ref="E11:G11"/>
    <mergeCell ref="E12:G12"/>
    <mergeCell ref="F5:G5"/>
    <mergeCell ref="E21:G21"/>
    <mergeCell ref="E22:G22"/>
    <mergeCell ref="E23:G23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69921875" customWidth="1"/>
    <col min="5" max="5" width="2.19921875" customWidth="1"/>
    <col min="8" max="8" width="10.19921875" customWidth="1"/>
    <col min="9" max="9" width="2.19921875" customWidth="1"/>
    <col min="12" max="12" width="11.69921875" customWidth="1"/>
    <col min="13" max="13" width="2.19921875" customWidth="1"/>
    <col min="15" max="15" width="19.5" customWidth="1"/>
  </cols>
  <sheetData>
    <row r="3" spans="2:16" ht="9.4499999999999993" customHeight="1" thickBot="1" x14ac:dyDescent="0.35"/>
    <row r="4" spans="2:16" ht="21" customHeight="1" x14ac:dyDescent="0.3">
      <c r="B4" s="531" t="s">
        <v>123</v>
      </c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3"/>
    </row>
    <row r="5" spans="2:16" ht="16.2" thickBot="1" x14ac:dyDescent="0.35">
      <c r="B5" s="534"/>
      <c r="C5" s="535"/>
      <c r="D5" s="535"/>
      <c r="E5" s="535"/>
      <c r="F5" s="535"/>
      <c r="G5" s="535"/>
      <c r="H5" s="535"/>
      <c r="I5" s="535"/>
      <c r="J5" s="535"/>
      <c r="K5" s="535"/>
      <c r="L5" s="535"/>
      <c r="M5" s="535"/>
      <c r="N5" s="535"/>
      <c r="O5" s="536"/>
    </row>
    <row r="8" spans="2:16" ht="16.2" thickBot="1" x14ac:dyDescent="0.35"/>
    <row r="9" spans="2:16" x14ac:dyDescent="0.3">
      <c r="B9" s="340" t="s">
        <v>124</v>
      </c>
      <c r="C9" s="341"/>
      <c r="D9" s="448"/>
      <c r="F9" s="406" t="s">
        <v>125</v>
      </c>
      <c r="G9" s="537"/>
      <c r="H9" s="538"/>
      <c r="J9" s="406" t="s">
        <v>126</v>
      </c>
      <c r="K9" s="537"/>
      <c r="L9" s="538"/>
      <c r="N9" s="340" t="s">
        <v>127</v>
      </c>
      <c r="O9" s="448"/>
    </row>
    <row r="10" spans="2:16" ht="16.2" thickBot="1" x14ac:dyDescent="0.35">
      <c r="B10" s="541"/>
      <c r="C10" s="379"/>
      <c r="D10" s="542"/>
      <c r="F10" s="407"/>
      <c r="G10" s="539"/>
      <c r="H10" s="540"/>
      <c r="J10" s="407"/>
      <c r="K10" s="539"/>
      <c r="L10" s="540"/>
      <c r="N10" s="449"/>
      <c r="O10" s="451"/>
    </row>
    <row r="11" spans="2:16" ht="15" customHeight="1" x14ac:dyDescent="0.3">
      <c r="B11" s="506" t="s">
        <v>128</v>
      </c>
      <c r="C11" s="507"/>
      <c r="D11" s="508"/>
      <c r="F11" s="512" t="s">
        <v>129</v>
      </c>
      <c r="G11" s="513"/>
      <c r="H11" s="514"/>
      <c r="J11" s="521" t="s">
        <v>130</v>
      </c>
      <c r="K11" s="522"/>
      <c r="L11" s="523"/>
      <c r="N11" s="512" t="s">
        <v>131</v>
      </c>
      <c r="O11" s="530"/>
    </row>
    <row r="12" spans="2:16" x14ac:dyDescent="0.3">
      <c r="B12" s="506"/>
      <c r="C12" s="507"/>
      <c r="D12" s="508"/>
      <c r="F12" s="515"/>
      <c r="G12" s="516"/>
      <c r="H12" s="517"/>
      <c r="J12" s="524"/>
      <c r="K12" s="525"/>
      <c r="L12" s="526"/>
      <c r="N12" s="506"/>
      <c r="O12" s="508"/>
    </row>
    <row r="13" spans="2:16" x14ac:dyDescent="0.3">
      <c r="B13" s="506"/>
      <c r="C13" s="507"/>
      <c r="D13" s="508"/>
      <c r="F13" s="515"/>
      <c r="G13" s="516"/>
      <c r="H13" s="517"/>
      <c r="J13" s="524"/>
      <c r="K13" s="525"/>
      <c r="L13" s="526"/>
      <c r="N13" s="506"/>
      <c r="O13" s="508"/>
    </row>
    <row r="14" spans="2:16" x14ac:dyDescent="0.3">
      <c r="B14" s="506"/>
      <c r="C14" s="507"/>
      <c r="D14" s="508"/>
      <c r="F14" s="515"/>
      <c r="G14" s="516"/>
      <c r="H14" s="517"/>
      <c r="J14" s="524"/>
      <c r="K14" s="525"/>
      <c r="L14" s="526"/>
      <c r="N14" s="506"/>
      <c r="O14" s="508"/>
      <c r="P14" s="6"/>
    </row>
    <row r="15" spans="2:16" x14ac:dyDescent="0.3">
      <c r="B15" s="506"/>
      <c r="C15" s="507"/>
      <c r="D15" s="508"/>
      <c r="F15" s="515"/>
      <c r="G15" s="516"/>
      <c r="H15" s="517"/>
      <c r="J15" s="524"/>
      <c r="K15" s="525"/>
      <c r="L15" s="526"/>
      <c r="N15" s="506"/>
      <c r="O15" s="508"/>
      <c r="P15" s="6"/>
    </row>
    <row r="16" spans="2:16" x14ac:dyDescent="0.3">
      <c r="B16" s="506"/>
      <c r="C16" s="507"/>
      <c r="D16" s="508"/>
      <c r="F16" s="515"/>
      <c r="G16" s="516"/>
      <c r="H16" s="517"/>
      <c r="J16" s="524"/>
      <c r="K16" s="525"/>
      <c r="L16" s="526"/>
      <c r="N16" s="506"/>
      <c r="O16" s="508"/>
      <c r="P16" s="6"/>
    </row>
    <row r="17" spans="2:16" x14ac:dyDescent="0.3">
      <c r="B17" s="506"/>
      <c r="C17" s="507"/>
      <c r="D17" s="508"/>
      <c r="F17" s="515"/>
      <c r="G17" s="516"/>
      <c r="H17" s="517"/>
      <c r="J17" s="524"/>
      <c r="K17" s="525"/>
      <c r="L17" s="526"/>
      <c r="N17" s="506"/>
      <c r="O17" s="508"/>
      <c r="P17" s="6"/>
    </row>
    <row r="18" spans="2:16" ht="16.95" customHeight="1" x14ac:dyDescent="0.3">
      <c r="B18" s="506"/>
      <c r="C18" s="507"/>
      <c r="D18" s="508"/>
      <c r="F18" s="515"/>
      <c r="G18" s="516"/>
      <c r="H18" s="517"/>
      <c r="J18" s="524"/>
      <c r="K18" s="525"/>
      <c r="L18" s="526"/>
      <c r="N18" s="506"/>
      <c r="O18" s="508"/>
      <c r="P18" s="6"/>
    </row>
    <row r="19" spans="2:16" ht="15.45" customHeight="1" x14ac:dyDescent="0.3">
      <c r="B19" s="506"/>
      <c r="C19" s="507"/>
      <c r="D19" s="508"/>
      <c r="F19" s="515"/>
      <c r="G19" s="516"/>
      <c r="H19" s="517"/>
      <c r="J19" s="524"/>
      <c r="K19" s="525"/>
      <c r="L19" s="526"/>
      <c r="N19" s="506"/>
      <c r="O19" s="508"/>
    </row>
    <row r="20" spans="2:16" x14ac:dyDescent="0.3">
      <c r="B20" s="506"/>
      <c r="C20" s="507"/>
      <c r="D20" s="508"/>
      <c r="F20" s="515"/>
      <c r="G20" s="516"/>
      <c r="H20" s="517"/>
      <c r="J20" s="524"/>
      <c r="K20" s="525"/>
      <c r="L20" s="526"/>
      <c r="N20" s="506"/>
      <c r="O20" s="508"/>
    </row>
    <row r="21" spans="2:16" x14ac:dyDescent="0.3">
      <c r="B21" s="506"/>
      <c r="C21" s="507"/>
      <c r="D21" s="508"/>
      <c r="F21" s="515"/>
      <c r="G21" s="516"/>
      <c r="H21" s="517"/>
      <c r="J21" s="524"/>
      <c r="K21" s="525"/>
      <c r="L21" s="526"/>
      <c r="N21" s="506"/>
      <c r="O21" s="508"/>
    </row>
    <row r="22" spans="2:16" x14ac:dyDescent="0.3">
      <c r="B22" s="506"/>
      <c r="C22" s="507"/>
      <c r="D22" s="508"/>
      <c r="F22" s="515"/>
      <c r="G22" s="516"/>
      <c r="H22" s="517"/>
      <c r="J22" s="524"/>
      <c r="K22" s="525"/>
      <c r="L22" s="526"/>
      <c r="N22" s="506"/>
      <c r="O22" s="508"/>
    </row>
    <row r="23" spans="2:16" ht="16.2" thickBot="1" x14ac:dyDescent="0.35">
      <c r="B23" s="509"/>
      <c r="C23" s="510"/>
      <c r="D23" s="511"/>
      <c r="F23" s="518"/>
      <c r="G23" s="519"/>
      <c r="H23" s="520"/>
      <c r="J23" s="527"/>
      <c r="K23" s="528"/>
      <c r="L23" s="529"/>
      <c r="N23" s="509"/>
      <c r="O23" s="511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Commentaires Suivi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2024-05-21T17:40:44Z</dcterms:modified>
  <cp:category/>
  <cp:contentStatus/>
</cp:coreProperties>
</file>