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Mounir/"/>
    </mc:Choice>
  </mc:AlternateContent>
  <xr:revisionPtr revIDLastSave="11" documentId="8_{5C4A29C3-F9F1-402E-861C-C83CCA8DB7A9}" xr6:coauthVersionLast="47" xr6:coauthVersionMax="47" xr10:uidLastSave="{40E3F446-7170-4007-B25F-427D15D614B4}"/>
  <bookViews>
    <workbookView xWindow="-108" yWindow="-108" windowWidth="23256" windowHeight="12576" tabRatio="912" firstSheet="1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state="hidden" r:id="rId5"/>
    <sheet name="Patrimoine social" sheetId="18" state="hidden" r:id="rId6"/>
    <sheet name="Patrimoine financiers" sheetId="5" state="hidden" r:id="rId7"/>
    <sheet name="Principaux objectifs" sheetId="6" r:id="rId8"/>
    <sheet name="Axes de travail" sheetId="7" state="hidden" r:id="rId9"/>
    <sheet name="Feuil1" sheetId="20" state="hidden" r:id="rId10"/>
    <sheet name="Commentaire Compliance" sheetId="21" r:id="rId11"/>
    <sheet name="Commentaires Suivi" sheetId="19" r:id="rId12"/>
    <sheet name="Les points forts" sheetId="8" r:id="rId13"/>
    <sheet name="Calcul IR 2" sheetId="13" state="hidden" r:id="rId14"/>
    <sheet name="Impôt 2021 revenus 2020" sheetId="14" state="hidden" r:id="rId15"/>
    <sheet name="Calcul IR Bis Retraite" sheetId="15" state="hidden" r:id="rId16"/>
    <sheet name="Impôt Retraite" sheetId="16" state="hidden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" l="1"/>
  <c r="L13" i="4"/>
  <c r="F43" i="4"/>
  <c r="F44" i="4"/>
  <c r="F45" i="4"/>
  <c r="F46" i="4"/>
  <c r="F47" i="4"/>
  <c r="F48" i="4"/>
  <c r="F49" i="4"/>
  <c r="F50" i="4"/>
  <c r="F51" i="4"/>
  <c r="F42" i="4"/>
  <c r="H20" i="1" l="1"/>
  <c r="H10" i="1"/>
  <c r="M4" i="3"/>
  <c r="D64" i="4" l="1"/>
  <c r="E35" i="4"/>
  <c r="K70" i="4"/>
  <c r="K33" i="4"/>
  <c r="L31" i="4"/>
  <c r="L30" i="4"/>
  <c r="L14" i="4"/>
  <c r="L15" i="4"/>
  <c r="L16" i="4"/>
  <c r="E8" i="13"/>
  <c r="F8" i="13" s="1"/>
  <c r="D17" i="1"/>
  <c r="D11" i="1"/>
  <c r="G46" i="1"/>
  <c r="H21" i="1"/>
  <c r="H9" i="1"/>
  <c r="D70" i="4" l="1"/>
  <c r="E8" i="10"/>
  <c r="J64" i="4" l="1"/>
  <c r="F64" i="4"/>
  <c r="L64" i="4"/>
  <c r="L35" i="4"/>
  <c r="E15" i="10"/>
  <c r="E16" i="10"/>
  <c r="E17" i="10"/>
  <c r="E14" i="10"/>
  <c r="F22" i="10" l="1"/>
  <c r="F33" i="4" l="1"/>
  <c r="H15" i="1"/>
  <c r="C4" i="14" l="1"/>
  <c r="C3" i="14" l="1"/>
  <c r="O36" i="13" s="1"/>
  <c r="E7" i="13" l="1"/>
  <c r="G32" i="1" l="1"/>
  <c r="J4" i="15" l="1"/>
  <c r="C5" i="16"/>
  <c r="I13" i="15" s="1"/>
  <c r="C3" i="16"/>
  <c r="C37" i="15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D6" i="15"/>
  <c r="E5" i="15"/>
  <c r="D5" i="15"/>
  <c r="E37" i="15" l="1"/>
  <c r="F37" i="15" s="1"/>
  <c r="F8" i="15"/>
  <c r="O30" i="15"/>
  <c r="C10" i="16" s="1"/>
  <c r="I36" i="15" s="1"/>
  <c r="I35" i="15"/>
  <c r="F36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16" i="13" s="1"/>
  <c r="I35" i="13"/>
  <c r="I13" i="13"/>
  <c r="I15" i="13"/>
  <c r="I14" i="13"/>
  <c r="C37" i="13"/>
  <c r="B37" i="13"/>
  <c r="C36" i="13"/>
  <c r="B36" i="13"/>
  <c r="R41" i="13"/>
  <c r="O41" i="13"/>
  <c r="O40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36" i="13" l="1"/>
  <c r="E34" i="13"/>
  <c r="E37" i="13"/>
  <c r="E36" i="13"/>
  <c r="F7" i="13"/>
  <c r="H8" i="1"/>
  <c r="H14" i="1"/>
  <c r="H23" i="1" l="1"/>
  <c r="D33" i="4" s="1"/>
  <c r="J3" i="13"/>
  <c r="I10" i="13" s="1"/>
  <c r="J3" i="15"/>
  <c r="D22" i="10"/>
  <c r="F36" i="13"/>
  <c r="F37" i="13"/>
  <c r="C8" i="14" l="1"/>
  <c r="G30" i="1" s="1"/>
  <c r="I33" i="13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H31" i="1" s="1"/>
  <c r="I11" i="13"/>
  <c r="I20" i="13" s="1"/>
  <c r="F27" i="13"/>
  <c r="F28" i="13"/>
  <c r="C12" i="14" l="1"/>
  <c r="I40" i="13"/>
  <c r="I41" i="13" s="1"/>
  <c r="I21" i="13"/>
  <c r="C13" i="14" l="1"/>
  <c r="I22" i="13"/>
  <c r="C14" i="14" l="1"/>
  <c r="D14" i="14" s="1"/>
  <c r="G31" i="1" s="1"/>
  <c r="H33" i="1" s="1"/>
  <c r="C30" i="10" l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tc={0DA5FFEE-24D5-4E6E-AEB2-1FCB1A3BA129}</author>
    <author>tc={C77B03D7-DD8E-46F7-A84B-2C23186E598D}</author>
    <author>tc={8A40CE59-C7F2-4ECB-BA93-EC5F94674062}</author>
  </authors>
  <commentList>
    <comment ref="H22" authorId="0" shapeId="0" xr:uid="{0DA5FFEE-24D5-4E6E-AEB2-1FCB1A3BA12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5959€ par personne pensionnée</t>
      </text>
    </comment>
    <comment ref="G34" authorId="1" shapeId="0" xr:uid="{C77B03D7-DD8E-46F7-A84B-2C23186E598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10.000€ des niches fiscales commun avec les crédits d'impôt
Dons aux œuvres : Entre 66 et 75% des dépenses en fonction des organismes - Plafonné à 20% des revenus</t>
      </text>
    </comment>
    <comment ref="G35" authorId="2" shapeId="0" xr:uid="{8A40CE59-C7F2-4ECB-BA93-EC5F9467406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Plafond de 10.000€ des niches fiscales commun avec les réductions
Employés à domicile : 50% des dépenses plafonnées à 12.000€ (15.000€ pour la première année d'emploi) (soit 6000€ de CI ou 7500€ pour la première année d'emploi) + Majoration de 1.500€ par enfant ou personne de +65 ans à charge (dans la limite de deux majorations) (Soit 750€ de CI supplémentaire dans la limite de 2). Plafond total résumé : 7500€ de Crédit (9000€ la première année) AVEC LES MAJORATIONS 
Frais de garde extérieur : 50% des dépenses plafonnées à 2300€ par enfant (soit 1150€ de crédit d'impôt maxi)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tc={94D4351B-C691-4822-A824-E59C138FD2E5}</author>
    <author>tc={443C3DE1-196B-481D-95F0-46FF326E5F4A}</author>
    <author>tc={48BF648E-3C66-4799-8A9D-1D7FA1B72F48}</author>
    <author>tc={814A89F7-63D6-467D-A8B1-73D841DC5CB5}</author>
    <author>tc={CB178046-EA58-4FF9-9303-F9BF8E9C91B7}</author>
    <author>tc={819C6BD4-72C6-4C86-A432-831BAAAED677}</author>
    <author>tc={498510B1-0CEE-41DB-A6B7-9AF8F6D71DEC}</author>
    <author>tc={A337F14E-4CE7-4EC5-814E-56341E0D11F2}</author>
    <author>tc={ECF5F3FC-E91B-49A9-86C3-74B6FC103792}</author>
    <author>tc={E9D243D8-ADB8-423F-AAD9-285272419F84}</author>
    <author>tc={511323BF-172A-4F57-8BE4-417119F0FA98}</author>
    <author>tc={FB47D159-C280-4AE9-A356-A71610C023B1}</author>
  </authors>
  <commentList>
    <comment ref="K8" authorId="0" shapeId="0" xr:uid="{94D4351B-C691-4822-A824-E59C138FD2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J13" authorId="1" shapeId="0" xr:uid="{443C3DE1-196B-481D-95F0-46FF326E5F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K13" authorId="2" shapeId="0" xr:uid="{48BF648E-3C66-4799-8A9D-1D7FA1B72F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</t>
      </text>
    </comment>
    <comment ref="J14" authorId="3" shapeId="0" xr:uid="{814A89F7-63D6-467D-A8B1-73D841DC5C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K14" authorId="4" shapeId="0" xr:uid="{CB178046-EA58-4FF9-9303-F9BF8E9C91B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J15" authorId="5" shapeId="0" xr:uid="{819C6BD4-72C6-4C86-A432-831BAAAED67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K15" authorId="6" shapeId="0" xr:uid="{498510B1-0CEE-41DB-A6B7-9AF8F6D71DEC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J16" authorId="7" shapeId="0" xr:uid="{A337F14E-4CE7-4EC5-814E-56341E0D11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ATTENTION - Mensualité assurance comprise</t>
      </text>
    </comment>
    <comment ref="K16" authorId="8" shapeId="0" xr:uid="{ECF5F3FC-E91B-49A9-86C3-74B6FC10379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Indiquez le loyer HORS CHARGE
</t>
      </text>
    </comment>
    <comment ref="B41" authorId="9" shapeId="0" xr:uid="{E9D243D8-ADB8-423F-AAD9-285272419F8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Livrets, Comptes courants, CEL...</t>
      </text>
    </comment>
    <comment ref="B52" authorId="10" shapeId="0" xr:uid="{511323BF-172A-4F57-8BE4-417119F0FA9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PPE, PERCO, PERIN, Assurance-vie, PEL</t>
      </text>
    </comment>
    <comment ref="B58" authorId="11" shapeId="0" xr:uid="{FB47D159-C280-4AE9-A356-A71610C023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Crypto, Actions en propre etc...</t>
      </text>
    </comment>
  </commentList>
</comments>
</file>

<file path=xl/sharedStrings.xml><?xml version="1.0" encoding="utf-8"?>
<sst xmlns="http://schemas.openxmlformats.org/spreadsheetml/2006/main" count="413" uniqueCount="289">
  <si>
    <t>AUDIT PATRIMONIAL</t>
  </si>
  <si>
    <t xml:space="preserve">GESTION PRIVÉ </t>
  </si>
  <si>
    <t>&amp;</t>
  </si>
  <si>
    <t>PERSONAL FINANCE</t>
  </si>
  <si>
    <t>ETAT CIVIL</t>
  </si>
  <si>
    <t>RÉMUNÉRATION</t>
  </si>
  <si>
    <t>M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</si>
  <si>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</si>
  <si>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</si>
  <si>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</si>
  <si>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</si>
  <si>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</si>
  <si>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</si>
  <si>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</si>
  <si>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</si>
  <si>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Dividendes</t>
  </si>
  <si>
    <t>Type de contrat/Société</t>
  </si>
  <si>
    <t>BNC/BA</t>
  </si>
  <si>
    <t>Imposition</t>
  </si>
  <si>
    <t>10%</t>
  </si>
  <si>
    <t>Mme.</t>
  </si>
  <si>
    <t xml:space="preserve">Situation maritale </t>
  </si>
  <si>
    <t>Marié</t>
  </si>
  <si>
    <t>Autres revenus</t>
  </si>
  <si>
    <t>Montant Brut</t>
  </si>
  <si>
    <t>Imposable</t>
  </si>
  <si>
    <t xml:space="preserve">Régime matrimonial </t>
  </si>
  <si>
    <t>Séparation de biens</t>
  </si>
  <si>
    <t>Situation particulière</t>
  </si>
  <si>
    <t>LMNP</t>
  </si>
  <si>
    <t>Garde</t>
  </si>
  <si>
    <t>REVENUS NETS</t>
  </si>
  <si>
    <t>CONTACTS</t>
  </si>
  <si>
    <t>Mail</t>
  </si>
  <si>
    <t>Téléphone</t>
  </si>
  <si>
    <t>ENFANTS</t>
  </si>
  <si>
    <t>IMPOSITION</t>
  </si>
  <si>
    <t>Prénoms</t>
  </si>
  <si>
    <t>Commentaire</t>
  </si>
  <si>
    <t>RIG</t>
  </si>
  <si>
    <t>TMI</t>
  </si>
  <si>
    <t>Impôt sur le revenu</t>
  </si>
  <si>
    <t>Impôt social foncier</t>
  </si>
  <si>
    <t>Taux moyen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</si>
  <si>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</si>
  <si>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</si>
  <si>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</si>
  <si>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</si>
  <si>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</si>
  <si>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</si>
  <si>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</si>
  <si>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</si>
  <si>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</si>
  <si>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</si>
  <si>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</si>
  <si>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avec Sté d'acquêt</t>
  </si>
  <si>
    <t>Frais réels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</si>
  <si>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</si>
  <si>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</si>
  <si>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</si>
  <si>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</si>
  <si>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</si>
  <si>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
Principale</t>
  </si>
  <si>
    <t>Localisation</t>
  </si>
  <si>
    <t>Date Acq.</t>
  </si>
  <si>
    <t>Valorisation</t>
  </si>
  <si>
    <t>Emprunt</t>
  </si>
  <si>
    <t>Durée</t>
  </si>
  <si>
    <t>Mensualité / Loyer</t>
  </si>
  <si>
    <t>AUTRE BIENS</t>
  </si>
  <si>
    <t xml:space="preserve">Biens </t>
  </si>
  <si>
    <t>Date fin</t>
  </si>
  <si>
    <t>Mensualité</t>
  </si>
  <si>
    <t>Loyer</t>
  </si>
  <si>
    <t>Rentabilité</t>
  </si>
  <si>
    <t>AUTRE EMPRUNTS</t>
  </si>
  <si>
    <t>Destination</t>
  </si>
  <si>
    <t>Montant</t>
  </si>
  <si>
    <t>Taux</t>
  </si>
  <si>
    <t>PROJETS</t>
  </si>
  <si>
    <t>Type</t>
  </si>
  <si>
    <t>Date</t>
  </si>
  <si>
    <t>TAUX D'ENDETTEMENT ACTUEL</t>
  </si>
  <si>
    <t>SYNTHÉSE - PATRIMOINE IMMOBILIER</t>
  </si>
  <si>
    <t>% du Patrimoine</t>
  </si>
  <si>
    <t>PATRIMOINE FINANCIER</t>
  </si>
  <si>
    <t>NOM</t>
  </si>
  <si>
    <t>Valeur</t>
  </si>
  <si>
    <t>Risque (1-7)</t>
  </si>
  <si>
    <t>Disponible</t>
  </si>
  <si>
    <t>Organisme</t>
  </si>
  <si>
    <t>Objectif</t>
  </si>
  <si>
    <t>Liquidités</t>
  </si>
  <si>
    <t>Placements financiers</t>
  </si>
  <si>
    <t>Assurance-vie</t>
  </si>
  <si>
    <t>Autres</t>
  </si>
  <si>
    <t>SYNTHÉSE - PATRIMOINE FINANCIER</t>
  </si>
  <si>
    <t>% Total</t>
  </si>
  <si>
    <t>Plac. Fin.</t>
  </si>
  <si>
    <t>PATRIMOINE GLOBAL</t>
  </si>
  <si>
    <t>CAPACITE INVESTISSEMENT</t>
  </si>
  <si>
    <t>PREVISION A LA RETRAITE</t>
  </si>
  <si>
    <t>Résidence Principale</t>
  </si>
  <si>
    <t>Charges</t>
  </si>
  <si>
    <t>Loyer payé</t>
  </si>
  <si>
    <t>BORDEAUX</t>
  </si>
  <si>
    <t>Bien</t>
  </si>
  <si>
    <t>Loyer perçu</t>
  </si>
  <si>
    <t>CESTAS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</si>
  <si>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</si>
  <si>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</si>
  <si>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</si>
  <si>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</si>
  <si>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</si>
  <si>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</si>
  <si>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</si>
  <si>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</si>
  <si>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</si>
  <si>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</si>
  <si>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</si>
  <si>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Loyers</t>
  </si>
  <si>
    <t>Montant du prêt</t>
  </si>
  <si>
    <t>Date début</t>
  </si>
  <si>
    <t>Rapport locatif Brut</t>
  </si>
  <si>
    <t>SASU</t>
  </si>
  <si>
    <t>Dénomination</t>
  </si>
  <si>
    <t xml:space="preserve">Risque </t>
  </si>
  <si>
    <t>Gestionnaire</t>
  </si>
  <si>
    <t>Type de Gestion</t>
  </si>
  <si>
    <t>Total</t>
  </si>
  <si>
    <t>Compte Courant</t>
  </si>
  <si>
    <t>Livret A</t>
  </si>
  <si>
    <t>Variable</t>
  </si>
  <si>
    <t>?</t>
  </si>
  <si>
    <t>UFI France</t>
  </si>
  <si>
    <t>Sous Mandat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</si>
  <si>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</si>
  <si>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</si>
  <si>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</si>
  <si>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</si>
  <si>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</si>
  <si>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</si>
  <si>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</si>
  <si>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</si>
  <si>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</si>
  <si>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</si>
  <si>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</si>
  <si>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</si>
  <si>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</si>
  <si>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</si>
  <si>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</si>
  <si>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</si>
  <si>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</si>
  <si>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</si>
  <si>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</si>
  <si>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</si>
  <si>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</si>
  <si>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</si>
  <si>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r>
      <t xml:space="preserve">Volonté de </t>
    </r>
    <r>
      <rPr>
        <b/>
        <u/>
        <sz val="12"/>
        <color theme="0"/>
        <rFont val="Calibri"/>
        <family val="2"/>
        <scheme val="minor"/>
      </rPr>
      <t>dynamiser</t>
    </r>
    <r>
      <rPr>
        <sz val="12"/>
        <color theme="0"/>
        <rFont val="Calibri"/>
        <family val="2"/>
        <scheme val="minor"/>
      </rPr>
      <t xml:space="preserve"> l'effort d'épargne</t>
    </r>
  </si>
  <si>
    <r>
      <t xml:space="preserve">Investissement plutôt </t>
    </r>
    <r>
      <rPr>
        <b/>
        <u/>
        <sz val="12"/>
        <color theme="0"/>
        <rFont val="Calibri"/>
        <family val="2"/>
        <scheme val="minor"/>
      </rPr>
      <t>Liquide</t>
    </r>
  </si>
  <si>
    <t>Capacité d'épargne et horizon d'investissement sur plus de dix ans</t>
  </si>
  <si>
    <t>COMMENTAIRE SUIVI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</si>
  <si>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</si>
  <si>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</si>
  <si>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</si>
  <si>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</si>
  <si>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</si>
  <si>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</si>
  <si>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</si>
  <si>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</si>
  <si>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</si>
  <si>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</si>
  <si>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</si>
  <si>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</si>
  <si>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</si>
  <si>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</si>
  <si>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</si>
  <si>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</si>
  <si>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</si>
  <si>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</si>
  <si>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</si>
  <si>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</si>
  <si>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</si>
  <si>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</si>
  <si>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</si>
  <si>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</si>
  <si>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</si>
  <si>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</si>
  <si>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Marié-Pacsé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</si>
  <si>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</si>
  <si>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</si>
  <si>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</si>
  <si>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</si>
  <si>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</si>
  <si>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</si>
  <si>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</si>
  <si>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</si>
  <si>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</si>
  <si>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</si>
  <si>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</si>
  <si>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</si>
  <si>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</si>
  <si>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</si>
  <si>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</si>
  <si>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</si>
  <si>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</si>
  <si>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</si>
  <si>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</si>
  <si>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</si>
  <si>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</si>
  <si>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</si>
  <si>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</si>
  <si>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</si>
  <si>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</si>
  <si>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</si>
  <si>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</si>
  <si>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</si>
  <si>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</si>
  <si>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</si>
  <si>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</si>
  <si>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</si>
  <si>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</si>
  <si>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</si>
  <si>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 xml:space="preserve">Date de naissance </t>
  </si>
  <si>
    <t>Adresse</t>
  </si>
  <si>
    <t>Restant dû</t>
  </si>
  <si>
    <t>Se constituer un patrimoine</t>
  </si>
  <si>
    <t>Constituer une épargne de précaution</t>
  </si>
  <si>
    <t>Préparer la transmission de son patrimoine</t>
  </si>
  <si>
    <t>Optimiser la rentabilité de ses placements</t>
  </si>
  <si>
    <t>Préparer la transmission de son entreprise</t>
  </si>
  <si>
    <t>Aider ses enfants</t>
  </si>
  <si>
    <t>Optimiser sa fiscalité</t>
  </si>
  <si>
    <t xml:space="preserve">Obtenir des revenus complémentaires      </t>
  </si>
  <si>
    <t>Protéger les proches</t>
  </si>
  <si>
    <t>Préparer sa retraite</t>
  </si>
  <si>
    <t xml:space="preserve">Protéger le conjoint survivant </t>
  </si>
  <si>
    <t>X</t>
  </si>
  <si>
    <t>x</t>
  </si>
  <si>
    <t xml:space="preserve">Échéance </t>
  </si>
  <si>
    <t>Date du mariage/divorce</t>
  </si>
  <si>
    <t>Date et lieu de naissance</t>
  </si>
  <si>
    <t>PATRIMOINE PROFESSIONNEL</t>
  </si>
  <si>
    <t>Forme Juridique</t>
  </si>
  <si>
    <t>Nb Associés</t>
  </si>
  <si>
    <t>Activité</t>
  </si>
  <si>
    <t>% détention</t>
  </si>
  <si>
    <t>Date Création</t>
  </si>
  <si>
    <t>Passif</t>
  </si>
  <si>
    <t>Trésorerie</t>
  </si>
  <si>
    <t>CA</t>
  </si>
  <si>
    <t>Estimation</t>
  </si>
  <si>
    <t>Achat</t>
  </si>
  <si>
    <t>Date Ouverture</t>
  </si>
  <si>
    <t>Supports</t>
  </si>
  <si>
    <t>Satisfait?</t>
  </si>
  <si>
    <t>Benefice</t>
  </si>
  <si>
    <t>Justifications de l'investissement</t>
  </si>
  <si>
    <t xml:space="preserve">La stratégie proposée correspond à vos objectifs et à votre situation particulière en ce qui concerne la durée de l'investissement recquis, vos connaissances et votre expérience ainsi que votre tolérance au risque et votre capacité à subir les pertes. Nous justifions les choix retenus pour les raisons suivantes. </t>
  </si>
  <si>
    <t>Cf le questionnaire risque. Si le client ne souhaite pas prendre en compte l'ESG, précisez par exemple "nous n'avons pas déterminé de critères particuliers". Si oui, E = environnement, S = social, G = gouvernance.</t>
  </si>
  <si>
    <t>Pensions versée</t>
  </si>
  <si>
    <t>Expatriation antérieure/ Date de retour en France</t>
  </si>
  <si>
    <t>47 ans</t>
  </si>
  <si>
    <t>Directeur Projet (durable)</t>
  </si>
  <si>
    <t>CDI - Michelin</t>
  </si>
  <si>
    <t>Relations Commerciales</t>
  </si>
  <si>
    <t>Fille Agathe</t>
  </si>
  <si>
    <t xml:space="preserve">Fille Juliette </t>
  </si>
  <si>
    <t>14 ans</t>
  </si>
  <si>
    <t>16 ans</t>
  </si>
  <si>
    <t>CDI - Axyus</t>
  </si>
  <si>
    <t xml:space="preserve">Compte Cheque </t>
  </si>
  <si>
    <t>CACF</t>
  </si>
  <si>
    <t>SG</t>
  </si>
  <si>
    <t>Natixis</t>
  </si>
  <si>
    <t>AXA</t>
  </si>
  <si>
    <t>Actions Michelin</t>
  </si>
  <si>
    <t>Michelin</t>
  </si>
  <si>
    <t>Livrets A</t>
  </si>
  <si>
    <t>Livrets + enfants</t>
  </si>
  <si>
    <t>Livret + parents</t>
  </si>
  <si>
    <t>Fortuneo</t>
  </si>
  <si>
    <t>très bonne relation!</t>
  </si>
  <si>
    <t>Maison</t>
  </si>
  <si>
    <t>2xLMNP Locatif</t>
  </si>
  <si>
    <t>PEE Mme (CGI et Axyus)</t>
  </si>
  <si>
    <t>PEE Mr</t>
  </si>
  <si>
    <t>PERCO Mr</t>
  </si>
  <si>
    <t>Retraite Compl.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</si>
</sst>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  <numFmt numFmtId="167" formatCode="0.0%"/>
    <numFmt numFmtId="168" formatCode="_-* #,##0\ [$€-40C]_-;\-* #,##0\ [$€-40C]_-;_-* &quot;-&quot;??\ [$€-40C]_-;_-@_-"/>
    <numFmt numFmtId="169" formatCode="0#&quot; &quot;##&quot; &quot;##&quot; &quot;##&quot; &quot;##"/>
  </numFmts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2"/>
      <color rgb="FFFFFF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  <fill>
      <patternFill patternType="solid">
        <fgColor theme="3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602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8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29" xfId="1" applyFont="1" applyFill="1" applyBorder="1" applyAlignment="1">
      <alignment horizontal="center"/>
    </xf>
    <xf numFmtId="44" fontId="3" fillId="2" borderId="28" xfId="1" applyFont="1" applyFill="1" applyBorder="1" applyAlignment="1">
      <alignment horizontal="center"/>
    </xf>
    <xf numFmtId="44" fontId="3" fillId="2" borderId="30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0" fontId="1" fillId="9" borderId="0" xfId="5" applyFill="1" applyProtection="1">
      <protection hidden="1"/>
    </xf>
    <xf numFmtId="0" fontId="1" fillId="9" borderId="17" xfId="5" applyFill="1" applyBorder="1" applyProtection="1">
      <protection hidden="1"/>
    </xf>
    <xf numFmtId="0" fontId="22" fillId="9" borderId="17" xfId="5" applyFont="1" applyFill="1" applyBorder="1" applyAlignment="1" applyProtection="1">
      <alignment horizontal="left" vertical="center"/>
      <protection hidden="1"/>
    </xf>
    <xf numFmtId="0" fontId="1" fillId="9" borderId="0" xfId="5" applyFill="1" applyAlignment="1" applyProtection="1">
      <alignment horizontal="left" vertical="center"/>
      <protection hidden="1"/>
    </xf>
    <xf numFmtId="0" fontId="23" fillId="10" borderId="1" xfId="5" applyFont="1" applyFill="1" applyBorder="1" applyAlignment="1" applyProtection="1">
      <alignment horizontal="center" vertical="center"/>
      <protection locked="0" hidden="1"/>
    </xf>
    <xf numFmtId="0" fontId="1" fillId="9" borderId="18" xfId="5" applyFill="1" applyBorder="1" applyProtection="1">
      <protection hidden="1"/>
    </xf>
    <xf numFmtId="0" fontId="23" fillId="10" borderId="43" xfId="5" applyFont="1" applyFill="1" applyBorder="1" applyAlignment="1" applyProtection="1">
      <alignment horizontal="center" vertical="center"/>
      <protection locked="0" hidden="1"/>
    </xf>
    <xf numFmtId="0" fontId="23" fillId="9" borderId="0" xfId="5" applyFont="1" applyFill="1" applyAlignment="1" applyProtection="1">
      <alignment horizontal="center" vertical="center"/>
      <protection hidden="1"/>
    </xf>
    <xf numFmtId="0" fontId="10" fillId="9" borderId="17" xfId="5" applyFont="1" applyFill="1" applyBorder="1" applyAlignment="1" applyProtection="1">
      <alignment horizontal="left" vertical="center"/>
      <protection hidden="1"/>
    </xf>
    <xf numFmtId="0" fontId="1" fillId="9" borderId="0" xfId="5" applyFill="1" applyAlignment="1" applyProtection="1">
      <alignment horizontal="center" vertical="center"/>
      <protection hidden="1"/>
    </xf>
    <xf numFmtId="0" fontId="12" fillId="9" borderId="17" xfId="5" applyFont="1" applyFill="1" applyBorder="1" applyAlignment="1" applyProtection="1">
      <alignment horizontal="left" vertical="center"/>
      <protection hidden="1"/>
    </xf>
    <xf numFmtId="0" fontId="24" fillId="9" borderId="0" xfId="5" applyFont="1" applyFill="1" applyAlignment="1" applyProtection="1">
      <alignment horizontal="left" vertical="center"/>
      <protection hidden="1"/>
    </xf>
    <xf numFmtId="0" fontId="12" fillId="9" borderId="0" xfId="5" applyFont="1" applyFill="1" applyAlignment="1" applyProtection="1">
      <alignment horizontal="center" vertical="center"/>
      <protection hidden="1"/>
    </xf>
    <xf numFmtId="0" fontId="25" fillId="9" borderId="17" xfId="5" applyFont="1" applyFill="1" applyBorder="1" applyAlignment="1" applyProtection="1">
      <alignment horizontal="left" vertical="center"/>
      <protection hidden="1"/>
    </xf>
    <xf numFmtId="0" fontId="25" fillId="9" borderId="0" xfId="5" applyFont="1" applyFill="1" applyAlignment="1" applyProtection="1">
      <alignment horizontal="left" vertical="center"/>
      <protection hidden="1"/>
    </xf>
    <xf numFmtId="0" fontId="27" fillId="9" borderId="17" xfId="5" applyFont="1" applyFill="1" applyBorder="1" applyAlignment="1" applyProtection="1">
      <alignment horizontal="left" vertical="center"/>
      <protection hidden="1"/>
    </xf>
    <xf numFmtId="0" fontId="27" fillId="9" borderId="0" xfId="5" applyFont="1" applyFill="1" applyAlignment="1" applyProtection="1">
      <alignment horizontal="left" vertical="center"/>
      <protection hidden="1"/>
    </xf>
    <xf numFmtId="164" fontId="27" fillId="9" borderId="0" xfId="5" applyNumberFormat="1" applyFont="1" applyFill="1" applyAlignment="1" applyProtection="1">
      <alignment horizontal="center" vertical="center"/>
      <protection hidden="1"/>
    </xf>
    <xf numFmtId="0" fontId="1" fillId="9" borderId="19" xfId="5" applyFill="1" applyBorder="1" applyProtection="1">
      <protection hidden="1"/>
    </xf>
    <xf numFmtId="0" fontId="1" fillId="9" borderId="20" xfId="5" applyFill="1" applyBorder="1" applyProtection="1">
      <protection hidden="1"/>
    </xf>
    <xf numFmtId="0" fontId="1" fillId="9" borderId="21" xfId="5" applyFill="1" applyBorder="1" applyProtection="1">
      <protection hidden="1"/>
    </xf>
    <xf numFmtId="44" fontId="25" fillId="9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0" fontId="11" fillId="12" borderId="6" xfId="3" applyFont="1" applyFill="1" applyBorder="1" applyProtection="1">
      <protection hidden="1"/>
    </xf>
    <xf numFmtId="0" fontId="11" fillId="12" borderId="7" xfId="3" applyFont="1" applyFill="1" applyBorder="1" applyProtection="1">
      <protection hidden="1"/>
    </xf>
    <xf numFmtId="0" fontId="11" fillId="12" borderId="8" xfId="3" applyFont="1" applyFill="1" applyBorder="1" applyProtection="1">
      <protection hidden="1"/>
    </xf>
    <xf numFmtId="44" fontId="11" fillId="12" borderId="9" xfId="1" applyFont="1" applyFill="1" applyBorder="1" applyProtection="1">
      <protection hidden="1"/>
    </xf>
    <xf numFmtId="44" fontId="11" fillId="12" borderId="1" xfId="1" applyFont="1" applyFill="1" applyBorder="1" applyProtection="1">
      <protection hidden="1"/>
    </xf>
    <xf numFmtId="44" fontId="11" fillId="12" borderId="10" xfId="1" applyFont="1" applyFill="1" applyBorder="1" applyProtection="1">
      <protection hidden="1"/>
    </xf>
    <xf numFmtId="0" fontId="11" fillId="12" borderId="11" xfId="3" applyFont="1" applyFill="1" applyBorder="1" applyProtection="1">
      <protection hidden="1"/>
    </xf>
    <xf numFmtId="0" fontId="11" fillId="12" borderId="12" xfId="3" applyFont="1" applyFill="1" applyBorder="1" applyProtection="1">
      <protection hidden="1"/>
    </xf>
    <xf numFmtId="0" fontId="11" fillId="12" borderId="13" xfId="3" applyFont="1" applyFill="1" applyBorder="1" applyProtection="1">
      <protection hidden="1"/>
    </xf>
    <xf numFmtId="9" fontId="16" fillId="12" borderId="1" xfId="4" applyFont="1" applyFill="1" applyBorder="1" applyAlignment="1" applyProtection="1">
      <alignment horizontal="center" vertical="center"/>
      <protection hidden="1"/>
    </xf>
    <xf numFmtId="9" fontId="16" fillId="12" borderId="12" xfId="4" applyFont="1" applyFill="1" applyBorder="1" applyAlignment="1" applyProtection="1">
      <alignment horizontal="center" vertical="center"/>
      <protection hidden="1"/>
    </xf>
    <xf numFmtId="0" fontId="16" fillId="11" borderId="31" xfId="3" applyFont="1" applyFill="1" applyBorder="1" applyAlignment="1" applyProtection="1">
      <alignment horizontal="center"/>
      <protection hidden="1"/>
    </xf>
    <xf numFmtId="0" fontId="16" fillId="11" borderId="34" xfId="3" applyFont="1" applyFill="1" applyBorder="1" applyAlignment="1" applyProtection="1">
      <alignment horizontal="center"/>
      <protection hidden="1"/>
    </xf>
    <xf numFmtId="44" fontId="11" fillId="12" borderId="6" xfId="1" applyFont="1" applyFill="1" applyBorder="1" applyProtection="1">
      <protection hidden="1"/>
    </xf>
    <xf numFmtId="44" fontId="11" fillId="12" borderId="7" xfId="1" applyFont="1" applyFill="1" applyBorder="1" applyProtection="1">
      <protection hidden="1"/>
    </xf>
    <xf numFmtId="44" fontId="11" fillId="12" borderId="8" xfId="1" applyFont="1" applyFill="1" applyBorder="1" applyProtection="1">
      <protection hidden="1"/>
    </xf>
    <xf numFmtId="9" fontId="16" fillId="12" borderId="7" xfId="4" applyFont="1" applyFill="1" applyBorder="1" applyAlignment="1" applyProtection="1">
      <alignment horizontal="center" vertical="center"/>
      <protection hidden="1"/>
    </xf>
    <xf numFmtId="0" fontId="16" fillId="12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7" borderId="40" xfId="3" applyFont="1" applyFill="1" applyBorder="1" applyAlignment="1" applyProtection="1">
      <alignment horizontal="center" vertical="center"/>
      <protection hidden="1"/>
    </xf>
    <xf numFmtId="0" fontId="16" fillId="7" borderId="45" xfId="3" applyFont="1" applyFill="1" applyBorder="1" applyAlignment="1" applyProtection="1">
      <alignment horizontal="center" vertical="center"/>
      <protection hidden="1"/>
    </xf>
    <xf numFmtId="165" fontId="11" fillId="13" borderId="8" xfId="1" applyNumberFormat="1" applyFont="1" applyFill="1" applyBorder="1" applyProtection="1">
      <protection hidden="1"/>
    </xf>
    <xf numFmtId="165" fontId="11" fillId="13" borderId="10" xfId="1" applyNumberFormat="1" applyFont="1" applyFill="1" applyBorder="1" applyProtection="1">
      <protection hidden="1"/>
    </xf>
    <xf numFmtId="0" fontId="11" fillId="13" borderId="10" xfId="3" applyFont="1" applyFill="1" applyBorder="1" applyProtection="1">
      <protection hidden="1"/>
    </xf>
    <xf numFmtId="165" fontId="11" fillId="13" borderId="13" xfId="1" applyNumberFormat="1" applyFont="1" applyFill="1" applyBorder="1" applyProtection="1">
      <protection hidden="1"/>
    </xf>
    <xf numFmtId="0" fontId="29" fillId="7" borderId="6" xfId="3" applyFont="1" applyFill="1" applyBorder="1" applyAlignment="1" applyProtection="1">
      <alignment horizontal="center" vertical="center"/>
      <protection hidden="1"/>
    </xf>
    <xf numFmtId="0" fontId="29" fillId="7" borderId="9" xfId="3" applyFont="1" applyFill="1" applyBorder="1" applyAlignment="1" applyProtection="1">
      <alignment horizontal="center" vertical="center"/>
      <protection hidden="1"/>
    </xf>
    <xf numFmtId="0" fontId="29" fillId="7" borderId="11" xfId="3" applyFont="1" applyFill="1" applyBorder="1" applyAlignment="1" applyProtection="1">
      <alignment horizontal="center" vertical="center"/>
      <protection hidden="1"/>
    </xf>
    <xf numFmtId="0" fontId="29" fillId="7" borderId="6" xfId="3" applyFont="1" applyFill="1" applyBorder="1" applyAlignment="1" applyProtection="1">
      <alignment horizontal="center"/>
      <protection hidden="1"/>
    </xf>
    <xf numFmtId="0" fontId="29" fillId="7" borderId="9" xfId="3" applyFont="1" applyFill="1" applyBorder="1" applyAlignment="1" applyProtection="1">
      <alignment horizontal="center"/>
      <protection hidden="1"/>
    </xf>
    <xf numFmtId="0" fontId="29" fillId="7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Protection="1">
      <protection locked="0"/>
    </xf>
    <xf numFmtId="0" fontId="0" fillId="6" borderId="32" xfId="0" applyFill="1" applyBorder="1" applyAlignment="1" applyProtection="1">
      <alignment horizontal="right"/>
      <protection locked="0"/>
    </xf>
    <xf numFmtId="0" fontId="0" fillId="6" borderId="32" xfId="0" applyFill="1" applyBorder="1" applyProtection="1">
      <protection locked="0"/>
    </xf>
    <xf numFmtId="44" fontId="0" fillId="6" borderId="37" xfId="1" applyFont="1" applyFill="1" applyBorder="1" applyProtection="1">
      <protection locked="0"/>
    </xf>
    <xf numFmtId="44" fontId="0" fillId="6" borderId="38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165" fontId="27" fillId="9" borderId="0" xfId="1" applyNumberFormat="1" applyFont="1" applyFill="1" applyAlignment="1" applyProtection="1">
      <alignment horizontal="center" vertical="center"/>
      <protection hidden="1"/>
    </xf>
    <xf numFmtId="165" fontId="25" fillId="9" borderId="0" xfId="1" applyNumberFormat="1" applyFont="1" applyFill="1" applyAlignment="1" applyProtection="1">
      <alignment horizontal="center" vertical="center"/>
      <protection hidden="1"/>
    </xf>
    <xf numFmtId="164" fontId="27" fillId="9" borderId="0" xfId="1" applyNumberFormat="1" applyFont="1" applyFill="1" applyAlignment="1" applyProtection="1">
      <alignment horizontal="center" vertical="center"/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4" fillId="6" borderId="10" xfId="1" applyNumberFormat="1" applyFont="1" applyFill="1" applyBorder="1" applyAlignment="1" applyProtection="1">
      <protection locked="0"/>
    </xf>
    <xf numFmtId="165" fontId="0" fillId="6" borderId="32" xfId="1" applyNumberFormat="1" applyFont="1" applyFill="1" applyBorder="1" applyProtection="1">
      <protection locked="0"/>
    </xf>
    <xf numFmtId="9" fontId="4" fillId="8" borderId="17" xfId="2" applyFont="1" applyFill="1" applyBorder="1" applyAlignment="1" applyProtection="1">
      <alignment vertical="center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" vertical="center"/>
      <protection locked="0"/>
    </xf>
    <xf numFmtId="165" fontId="23" fillId="10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0" fontId="4" fillId="0" borderId="36" xfId="0" applyFont="1" applyBorder="1" applyAlignment="1">
      <alignment horizontal="right" vertical="center"/>
    </xf>
    <xf numFmtId="165" fontId="0" fillId="6" borderId="38" xfId="1" applyNumberFormat="1" applyFont="1" applyFill="1" applyBorder="1" applyProtection="1">
      <protection locked="0"/>
    </xf>
    <xf numFmtId="0" fontId="4" fillId="8" borderId="15" xfId="0" applyFont="1" applyFill="1" applyBorder="1" applyAlignment="1">
      <alignment horizontal="right" vertical="center"/>
    </xf>
    <xf numFmtId="0" fontId="0" fillId="8" borderId="15" xfId="0" applyFill="1" applyBorder="1" applyProtection="1">
      <protection locked="0"/>
    </xf>
    <xf numFmtId="0" fontId="3" fillId="4" borderId="46" xfId="0" applyFont="1" applyFill="1" applyBorder="1" applyAlignment="1">
      <alignment horizontal="center" vertical="center"/>
    </xf>
    <xf numFmtId="0" fontId="33" fillId="4" borderId="47" xfId="0" applyFont="1" applyFill="1" applyBorder="1" applyAlignment="1" applyProtection="1">
      <alignment horizontal="center" vertical="center"/>
      <protection locked="0"/>
    </xf>
    <xf numFmtId="9" fontId="34" fillId="4" borderId="30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9" xfId="0" applyFont="1" applyBorder="1"/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8" borderId="0" xfId="2" applyNumberFormat="1" applyFont="1" applyFill="1" applyBorder="1" applyProtection="1"/>
    <xf numFmtId="0" fontId="0" fillId="8" borderId="0" xfId="0" applyFill="1" applyAlignment="1">
      <alignment horizontal="center" vertical="center"/>
    </xf>
    <xf numFmtId="165" fontId="0" fillId="8" borderId="0" xfId="1" applyNumberFormat="1" applyFont="1" applyFill="1" applyBorder="1" applyProtection="1">
      <protection locked="0"/>
    </xf>
    <xf numFmtId="9" fontId="0" fillId="8" borderId="0" xfId="0" applyNumberFormat="1" applyFill="1" applyProtection="1">
      <protection locked="0"/>
    </xf>
    <xf numFmtId="164" fontId="0" fillId="8" borderId="0" xfId="0" applyNumberFormat="1" applyFill="1"/>
    <xf numFmtId="165" fontId="0" fillId="8" borderId="0" xfId="1" applyNumberFormat="1" applyFont="1" applyFill="1" applyBorder="1" applyAlignment="1" applyProtection="1">
      <alignment horizontal="left"/>
      <protection locked="0"/>
    </xf>
    <xf numFmtId="44" fontId="0" fillId="8" borderId="0" xfId="1" applyFont="1" applyFill="1" applyBorder="1"/>
    <xf numFmtId="44" fontId="0" fillId="8" borderId="0" xfId="1" applyFont="1" applyFill="1" applyBorder="1" applyAlignment="1">
      <alignment horizontal="center" vertical="center"/>
    </xf>
    <xf numFmtId="44" fontId="0" fillId="8" borderId="0" xfId="1" applyFont="1" applyFill="1" applyBorder="1" applyAlignment="1" applyProtection="1">
      <alignment horizontal="center"/>
      <protection locked="0"/>
    </xf>
    <xf numFmtId="44" fontId="0" fillId="8" borderId="0" xfId="1" applyFont="1" applyFill="1" applyBorder="1" applyAlignment="1" applyProtection="1">
      <alignment horizontal="center" vertical="center"/>
      <protection locked="0"/>
    </xf>
    <xf numFmtId="164" fontId="0" fillId="8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4" fillId="6" borderId="29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29" xfId="0" applyNumberFormat="1" applyFill="1" applyBorder="1" applyAlignment="1">
      <alignment horizontal="center" vertical="center"/>
    </xf>
    <xf numFmtId="164" fontId="0" fillId="6" borderId="28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8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64" fontId="0" fillId="0" borderId="0" xfId="0" applyNumberFormat="1"/>
    <xf numFmtId="164" fontId="0" fillId="6" borderId="28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0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165" fontId="0" fillId="6" borderId="43" xfId="1" applyNumberFormat="1" applyFont="1" applyFill="1" applyBorder="1" applyProtection="1">
      <protection locked="0"/>
    </xf>
    <xf numFmtId="165" fontId="0" fillId="6" borderId="44" xfId="1" applyNumberFormat="1" applyFont="1" applyFill="1" applyBorder="1" applyProtection="1"/>
    <xf numFmtId="0" fontId="38" fillId="17" borderId="27" xfId="0" applyFont="1" applyFill="1" applyBorder="1" applyAlignment="1">
      <alignment horizontal="center"/>
    </xf>
    <xf numFmtId="0" fontId="38" fillId="17" borderId="29" xfId="0" applyFont="1" applyFill="1" applyBorder="1" applyAlignment="1">
      <alignment horizontal="center"/>
    </xf>
    <xf numFmtId="0" fontId="35" fillId="17" borderId="27" xfId="0" applyFont="1" applyFill="1" applyBorder="1" applyAlignment="1">
      <alignment horizontal="center" vertical="center"/>
    </xf>
    <xf numFmtId="0" fontId="35" fillId="17" borderId="29" xfId="0" applyFont="1" applyFill="1" applyBorder="1" applyAlignment="1">
      <alignment horizontal="center"/>
    </xf>
    <xf numFmtId="0" fontId="35" fillId="17" borderId="28" xfId="0" applyFont="1" applyFill="1" applyBorder="1" applyAlignment="1">
      <alignment horizontal="center"/>
    </xf>
    <xf numFmtId="0" fontId="35" fillId="17" borderId="29" xfId="0" applyFont="1" applyFill="1" applyBorder="1" applyAlignment="1">
      <alignment horizontal="center" vertical="center"/>
    </xf>
    <xf numFmtId="0" fontId="35" fillId="17" borderId="28" xfId="0" applyFont="1" applyFill="1" applyBorder="1" applyAlignment="1">
      <alignment horizontal="center" vertical="center"/>
    </xf>
    <xf numFmtId="164" fontId="35" fillId="17" borderId="22" xfId="0" applyNumberFormat="1" applyFont="1" applyFill="1" applyBorder="1" applyAlignment="1">
      <alignment horizontal="center" vertical="center"/>
    </xf>
    <xf numFmtId="164" fontId="39" fillId="16" borderId="23" xfId="1" applyNumberFormat="1" applyFont="1" applyFill="1" applyBorder="1" applyAlignment="1" applyProtection="1">
      <alignment horizontal="center" vertical="center"/>
    </xf>
    <xf numFmtId="0" fontId="35" fillId="17" borderId="33" xfId="0" applyFont="1" applyFill="1" applyBorder="1" applyAlignment="1">
      <alignment horizontal="center"/>
    </xf>
    <xf numFmtId="0" fontId="35" fillId="17" borderId="31" xfId="0" applyFont="1" applyFill="1" applyBorder="1" applyAlignment="1">
      <alignment horizontal="center"/>
    </xf>
    <xf numFmtId="44" fontId="35" fillId="17" borderId="4" xfId="1" applyFont="1" applyFill="1" applyBorder="1" applyAlignment="1">
      <alignment horizontal="center" vertical="center"/>
    </xf>
    <xf numFmtId="0" fontId="35" fillId="17" borderId="35" xfId="0" applyFont="1" applyFill="1" applyBorder="1" applyAlignment="1">
      <alignment horizontal="center"/>
    </xf>
    <xf numFmtId="0" fontId="35" fillId="17" borderId="34" xfId="0" applyFont="1" applyFill="1" applyBorder="1" applyAlignment="1">
      <alignment horizontal="center"/>
    </xf>
    <xf numFmtId="0" fontId="35" fillId="17" borderId="39" xfId="0" applyFont="1" applyFill="1" applyBorder="1" applyAlignment="1">
      <alignment horizontal="center" vertical="center"/>
    </xf>
    <xf numFmtId="9" fontId="0" fillId="0" borderId="0" xfId="0" applyNumberFormat="1"/>
    <xf numFmtId="0" fontId="4" fillId="0" borderId="22" xfId="0" applyFont="1" applyBorder="1"/>
    <xf numFmtId="0" fontId="4" fillId="0" borderId="51" xfId="0" applyFont="1" applyBorder="1"/>
    <xf numFmtId="0" fontId="35" fillId="17" borderId="56" xfId="0" applyFont="1" applyFill="1" applyBorder="1" applyAlignment="1">
      <alignment horizontal="center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4" fillId="0" borderId="51" xfId="0" applyFont="1" applyBorder="1" applyAlignment="1">
      <alignment horizontal="right" vertical="center"/>
    </xf>
    <xf numFmtId="0" fontId="35" fillId="17" borderId="49" xfId="0" applyFont="1" applyFill="1" applyBorder="1" applyAlignment="1">
      <alignment horizontal="center"/>
    </xf>
    <xf numFmtId="0" fontId="4" fillId="0" borderId="57" xfId="0" applyFont="1" applyBorder="1"/>
    <xf numFmtId="0" fontId="3" fillId="3" borderId="40" xfId="0" applyFont="1" applyFill="1" applyBorder="1"/>
    <xf numFmtId="0" fontId="3" fillId="3" borderId="58" xfId="0" applyFont="1" applyFill="1" applyBorder="1"/>
    <xf numFmtId="0" fontId="0" fillId="6" borderId="50" xfId="0" applyFill="1" applyBorder="1" applyAlignment="1" applyProtection="1">
      <alignment horizontal="left"/>
      <protection locked="0"/>
    </xf>
    <xf numFmtId="164" fontId="0" fillId="6" borderId="53" xfId="0" applyNumberFormat="1" applyFill="1" applyBorder="1" applyAlignment="1" applyProtection="1">
      <alignment horizontal="left"/>
      <protection locked="0"/>
    </xf>
    <xf numFmtId="0" fontId="3" fillId="3" borderId="45" xfId="0" applyFont="1" applyFill="1" applyBorder="1"/>
    <xf numFmtId="0" fontId="3" fillId="18" borderId="3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/>
    </xf>
    <xf numFmtId="164" fontId="30" fillId="8" borderId="0" xfId="1" applyNumberFormat="1" applyFont="1" applyFill="1" applyBorder="1" applyAlignment="1">
      <alignment horizontal="center" vertical="center"/>
    </xf>
    <xf numFmtId="164" fontId="32" fillId="4" borderId="30" xfId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3" borderId="3" xfId="0" applyFont="1" applyFill="1" applyBorder="1" applyAlignment="1">
      <alignment horizontal="left" vertical="center"/>
    </xf>
    <xf numFmtId="44" fontId="0" fillId="0" borderId="0" xfId="1" applyFont="1" applyFill="1" applyBorder="1" applyAlignment="1">
      <alignment horizontal="center" vertical="center"/>
    </xf>
    <xf numFmtId="10" fontId="34" fillId="4" borderId="30" xfId="2" applyNumberFormat="1" applyFont="1" applyFill="1" applyBorder="1" applyAlignment="1" applyProtection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10" fontId="0" fillId="6" borderId="7" xfId="0" applyNumberFormat="1" applyFill="1" applyBorder="1" applyAlignment="1" applyProtection="1">
      <alignment horizontal="right" vertical="center"/>
      <protection locked="0"/>
    </xf>
    <xf numFmtId="10" fontId="0" fillId="6" borderId="1" xfId="0" applyNumberFormat="1" applyFill="1" applyBorder="1" applyAlignment="1" applyProtection="1">
      <alignment horizontal="right" vertical="center"/>
      <protection locked="0"/>
    </xf>
    <xf numFmtId="0" fontId="0" fillId="6" borderId="12" xfId="0" applyFill="1" applyBorder="1" applyAlignment="1" applyProtection="1">
      <alignment horizontal="right" vertical="center"/>
      <protection locked="0"/>
    </xf>
    <xf numFmtId="9" fontId="0" fillId="6" borderId="1" xfId="0" applyNumberFormat="1" applyFill="1" applyBorder="1" applyAlignment="1" applyProtection="1">
      <alignment horizontal="right" vertical="center"/>
      <protection locked="0"/>
    </xf>
    <xf numFmtId="0" fontId="0" fillId="6" borderId="7" xfId="0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164" fontId="0" fillId="6" borderId="32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4" fontId="0" fillId="6" borderId="29" xfId="0" applyNumberFormat="1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4" fillId="8" borderId="0" xfId="0" applyFont="1" applyFill="1" applyAlignment="1">
      <alignment horizontal="center" vertical="center"/>
    </xf>
    <xf numFmtId="164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right" vertical="center"/>
      <protection locked="0"/>
    </xf>
    <xf numFmtId="0" fontId="0" fillId="6" borderId="7" xfId="1" applyNumberFormat="1" applyFont="1" applyFill="1" applyBorder="1" applyAlignment="1" applyProtection="1">
      <alignment horizontal="right" vertical="center"/>
      <protection locked="0"/>
    </xf>
    <xf numFmtId="0" fontId="0" fillId="6" borderId="7" xfId="0" applyFill="1" applyBorder="1" applyAlignment="1" applyProtection="1">
      <alignment horizontal="right" vertical="center"/>
      <protection locked="0"/>
    </xf>
    <xf numFmtId="164" fontId="0" fillId="6" borderId="7" xfId="0" applyNumberFormat="1" applyFill="1" applyBorder="1" applyAlignment="1" applyProtection="1">
      <alignment horizontal="right" vertical="center"/>
      <protection locked="0"/>
    </xf>
    <xf numFmtId="10" fontId="0" fillId="6" borderId="8" xfId="2" applyNumberFormat="1" applyFont="1" applyFill="1" applyBorder="1" applyAlignment="1" applyProtection="1">
      <alignment horizontal="right" vertical="center"/>
      <protection locked="0"/>
    </xf>
    <xf numFmtId="164" fontId="0" fillId="6" borderId="1" xfId="1" applyNumberFormat="1" applyFont="1" applyFill="1" applyBorder="1" applyAlignment="1" applyProtection="1">
      <alignment vertical="center"/>
      <protection locked="0"/>
    </xf>
    <xf numFmtId="0" fontId="0" fillId="6" borderId="1" xfId="1" applyNumberFormat="1" applyFont="1" applyFill="1" applyBorder="1" applyAlignment="1" applyProtection="1">
      <alignment vertical="center"/>
      <protection locked="0"/>
    </xf>
    <xf numFmtId="164" fontId="0" fillId="6" borderId="1" xfId="0" applyNumberFormat="1" applyFill="1" applyBorder="1" applyAlignment="1" applyProtection="1">
      <alignment vertical="center"/>
      <protection locked="0"/>
    </xf>
    <xf numFmtId="164" fontId="0" fillId="6" borderId="1" xfId="2" applyNumberFormat="1" applyFont="1" applyFill="1" applyBorder="1" applyAlignment="1" applyProtection="1">
      <alignment vertical="center"/>
      <protection locked="0"/>
    </xf>
    <xf numFmtId="10" fontId="0" fillId="6" borderId="10" xfId="2" applyNumberFormat="1" applyFont="1" applyFill="1" applyBorder="1" applyAlignment="1" applyProtection="1">
      <alignment horizontal="right" vertical="center"/>
      <protection locked="0"/>
    </xf>
    <xf numFmtId="164" fontId="0" fillId="6" borderId="12" xfId="1" applyNumberFormat="1" applyFont="1" applyFill="1" applyBorder="1" applyAlignment="1" applyProtection="1">
      <alignment vertical="center"/>
      <protection locked="0"/>
    </xf>
    <xf numFmtId="0" fontId="0" fillId="6" borderId="12" xfId="1" applyNumberFormat="1" applyFont="1" applyFill="1" applyBorder="1" applyAlignment="1" applyProtection="1">
      <alignment vertical="center"/>
      <protection locked="0"/>
    </xf>
    <xf numFmtId="0" fontId="0" fillId="6" borderId="12" xfId="0" applyFill="1" applyBorder="1" applyAlignment="1" applyProtection="1">
      <alignment vertical="center"/>
      <protection locked="0"/>
    </xf>
    <xf numFmtId="164" fontId="0" fillId="6" borderId="12" xfId="0" applyNumberFormat="1" applyFill="1" applyBorder="1" applyAlignment="1" applyProtection="1">
      <alignment vertical="center"/>
      <protection locked="0"/>
    </xf>
    <xf numFmtId="10" fontId="0" fillId="6" borderId="13" xfId="2" applyNumberFormat="1" applyFont="1" applyFill="1" applyBorder="1" applyAlignment="1" applyProtection="1">
      <alignment horizontal="right" vertical="center"/>
      <protection locked="0"/>
    </xf>
    <xf numFmtId="164" fontId="0" fillId="6" borderId="1" xfId="1" applyNumberFormat="1" applyFont="1" applyFill="1" applyBorder="1" applyAlignment="1" applyProtection="1">
      <alignment horizontal="right" vertical="center"/>
      <protection locked="0"/>
    </xf>
    <xf numFmtId="0" fontId="0" fillId="6" borderId="1" xfId="1" applyNumberFormat="1" applyFont="1" applyFill="1" applyBorder="1" applyAlignment="1" applyProtection="1">
      <alignment horizontal="right" vertical="center"/>
      <protection locked="0"/>
    </xf>
    <xf numFmtId="0" fontId="0" fillId="6" borderId="1" xfId="0" applyFill="1" applyBorder="1" applyAlignment="1" applyProtection="1">
      <alignment horizontal="right" vertical="center"/>
      <protection locked="0"/>
    </xf>
    <xf numFmtId="164" fontId="0" fillId="6" borderId="1" xfId="0" applyNumberFormat="1" applyFill="1" applyBorder="1" applyAlignment="1" applyProtection="1">
      <alignment horizontal="right" vertical="center"/>
      <protection locked="0"/>
    </xf>
    <xf numFmtId="0" fontId="35" fillId="17" borderId="49" xfId="0" applyFont="1" applyFill="1" applyBorder="1" applyAlignment="1">
      <alignment horizontal="center" vertical="center"/>
    </xf>
    <xf numFmtId="164" fontId="0" fillId="6" borderId="7" xfId="0" applyNumberFormat="1" applyFill="1" applyBorder="1" applyAlignment="1" applyProtection="1">
      <alignment vertical="center"/>
      <protection locked="0"/>
    </xf>
    <xf numFmtId="164" fontId="0" fillId="6" borderId="7" xfId="1" applyNumberFormat="1" applyFont="1" applyFill="1" applyBorder="1" applyAlignment="1" applyProtection="1">
      <alignment vertical="center"/>
      <protection locked="0"/>
    </xf>
    <xf numFmtId="164" fontId="0" fillId="6" borderId="7" xfId="0" applyNumberFormat="1" applyFill="1" applyBorder="1" applyAlignment="1" applyProtection="1">
      <alignment vertical="center" wrapText="1"/>
      <protection locked="0"/>
    </xf>
    <xf numFmtId="10" fontId="0" fillId="6" borderId="8" xfId="2" applyNumberFormat="1" applyFont="1" applyFill="1" applyBorder="1" applyAlignment="1" applyProtection="1">
      <alignment vertical="center" wrapText="1"/>
      <protection locked="0"/>
    </xf>
    <xf numFmtId="164" fontId="0" fillId="6" borderId="12" xfId="0" applyNumberFormat="1" applyFill="1" applyBorder="1" applyAlignment="1" applyProtection="1">
      <alignment vertical="center" wrapText="1"/>
      <protection locked="0"/>
    </xf>
    <xf numFmtId="10" fontId="0" fillId="6" borderId="13" xfId="2" applyNumberFormat="1" applyFont="1" applyFill="1" applyBorder="1" applyAlignment="1" applyProtection="1">
      <alignment vertical="center" wrapText="1"/>
      <protection locked="0"/>
    </xf>
    <xf numFmtId="44" fontId="0" fillId="0" borderId="0" xfId="1" applyFont="1" applyBorder="1" applyAlignment="1">
      <alignment vertical="center"/>
    </xf>
    <xf numFmtId="44" fontId="35" fillId="17" borderId="29" xfId="1" applyFont="1" applyFill="1" applyBorder="1" applyAlignment="1">
      <alignment horizontal="center" vertical="center"/>
    </xf>
    <xf numFmtId="44" fontId="35" fillId="17" borderId="28" xfId="1" applyFont="1" applyFill="1" applyBorder="1" applyAlignment="1">
      <alignment horizontal="center" vertical="center"/>
    </xf>
    <xf numFmtId="44" fontId="35" fillId="17" borderId="30" xfId="1" applyFont="1" applyFill="1" applyBorder="1" applyAlignment="1">
      <alignment horizontal="center" vertical="center"/>
    </xf>
    <xf numFmtId="164" fontId="34" fillId="0" borderId="0" xfId="1" applyNumberFormat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vertical="center"/>
    </xf>
    <xf numFmtId="0" fontId="0" fillId="6" borderId="29" xfId="0" applyFill="1" applyBorder="1" applyAlignment="1">
      <alignment horizontal="right" vertical="center"/>
    </xf>
    <xf numFmtId="0" fontId="0" fillId="6" borderId="32" xfId="0" applyFill="1" applyBorder="1" applyAlignment="1" applyProtection="1">
      <alignment horizontal="center" vertical="center"/>
      <protection locked="0"/>
    </xf>
    <xf numFmtId="0" fontId="0" fillId="6" borderId="7" xfId="1" applyNumberFormat="1" applyFont="1" applyFill="1" applyBorder="1" applyAlignment="1" applyProtection="1">
      <alignment horizontal="center" vertical="center"/>
      <protection locked="0"/>
    </xf>
    <xf numFmtId="0" fontId="0" fillId="6" borderId="1" xfId="1" applyNumberFormat="1" applyFont="1" applyFill="1" applyBorder="1" applyAlignment="1" applyProtection="1">
      <alignment horizontal="center" vertical="center"/>
      <protection locked="0"/>
    </xf>
    <xf numFmtId="0" fontId="0" fillId="6" borderId="12" xfId="1" applyNumberFormat="1" applyFont="1" applyFill="1" applyBorder="1" applyAlignment="1" applyProtection="1">
      <alignment horizontal="center" vertical="center"/>
      <protection locked="0"/>
    </xf>
    <xf numFmtId="0" fontId="0" fillId="6" borderId="32" xfId="1" applyNumberFormat="1" applyFont="1" applyFill="1" applyBorder="1" applyAlignment="1" applyProtection="1">
      <alignment horizontal="center" vertical="center"/>
      <protection locked="0"/>
    </xf>
    <xf numFmtId="0" fontId="0" fillId="6" borderId="36" xfId="0" applyFill="1" applyBorder="1" applyAlignment="1" applyProtection="1">
      <alignment horizontal="center" vertical="center"/>
      <protection locked="0"/>
    </xf>
    <xf numFmtId="167" fontId="0" fillId="6" borderId="7" xfId="0" applyNumberFormat="1" applyFill="1" applyBorder="1" applyAlignment="1" applyProtection="1">
      <alignment horizontal="right" vertical="center"/>
      <protection locked="0"/>
    </xf>
    <xf numFmtId="10" fontId="0" fillId="6" borderId="32" xfId="0" applyNumberFormat="1" applyFill="1" applyBorder="1" applyAlignment="1" applyProtection="1">
      <alignment horizontal="right" vertical="center"/>
      <protection locked="0"/>
    </xf>
    <xf numFmtId="164" fontId="34" fillId="4" borderId="64" xfId="1" applyNumberFormat="1" applyFont="1" applyFill="1" applyBorder="1" applyAlignment="1">
      <alignment horizontal="center" vertical="center"/>
    </xf>
    <xf numFmtId="164" fontId="34" fillId="4" borderId="62" xfId="0" applyNumberFormat="1" applyFont="1" applyFill="1" applyBorder="1" applyAlignment="1">
      <alignment horizontal="center" vertical="center"/>
    </xf>
    <xf numFmtId="164" fontId="34" fillId="4" borderId="6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6" borderId="4" xfId="0" applyFill="1" applyBorder="1" applyAlignment="1" applyProtection="1">
      <alignment horizontal="center" vertical="center"/>
      <protection locked="0"/>
    </xf>
    <xf numFmtId="164" fontId="0" fillId="6" borderId="4" xfId="1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vertical="center"/>
      <protection locked="0"/>
    </xf>
    <xf numFmtId="0" fontId="0" fillId="6" borderId="4" xfId="1" applyNumberFormat="1" applyFont="1" applyFill="1" applyBorder="1" applyAlignment="1" applyProtection="1">
      <alignment horizontal="center" vertical="center"/>
      <protection locked="0"/>
    </xf>
    <xf numFmtId="9" fontId="45" fillId="4" borderId="62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4" fillId="4" borderId="4" xfId="1" applyNumberFormat="1" applyFont="1" applyFill="1" applyBorder="1" applyAlignment="1">
      <alignment horizontal="center" vertical="center"/>
    </xf>
    <xf numFmtId="44" fontId="35" fillId="17" borderId="5" xfId="1" applyFont="1" applyFill="1" applyBorder="1" applyAlignment="1">
      <alignment horizontal="center" vertical="center"/>
    </xf>
    <xf numFmtId="0" fontId="38" fillId="17" borderId="49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10" fontId="0" fillId="6" borderId="29" xfId="2" applyNumberFormat="1" applyFont="1" applyFill="1" applyBorder="1" applyAlignment="1">
      <alignment vertical="center"/>
    </xf>
    <xf numFmtId="10" fontId="0" fillId="6" borderId="7" xfId="2" applyNumberFormat="1" applyFont="1" applyFill="1" applyBorder="1" applyAlignment="1" applyProtection="1">
      <alignment horizontal="right" vertical="center"/>
      <protection locked="0"/>
    </xf>
    <xf numFmtId="1" fontId="0" fillId="6" borderId="1" xfId="1" applyNumberFormat="1" applyFont="1" applyFill="1" applyBorder="1" applyAlignment="1" applyProtection="1">
      <alignment horizontal="center" vertical="center"/>
      <protection locked="0"/>
    </xf>
    <xf numFmtId="168" fontId="0" fillId="6" borderId="1" xfId="1" applyNumberFormat="1" applyFont="1" applyFill="1" applyBorder="1" applyAlignment="1" applyProtection="1">
      <alignment horizontal="center" vertical="center"/>
      <protection locked="0"/>
    </xf>
    <xf numFmtId="0" fontId="0" fillId="6" borderId="37" xfId="1" applyNumberFormat="1" applyFont="1" applyFill="1" applyBorder="1" applyAlignment="1" applyProtection="1">
      <alignment horizontal="center" vertical="center"/>
      <protection locked="0"/>
    </xf>
    <xf numFmtId="0" fontId="0" fillId="6" borderId="68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7" borderId="0" xfId="0" applyFont="1" applyFill="1" applyAlignment="1">
      <alignment horizontal="center" vertical="center"/>
    </xf>
    <xf numFmtId="14" fontId="41" fillId="4" borderId="0" xfId="0" applyNumberFormat="1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0" fillId="6" borderId="11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35" fillId="17" borderId="14" xfId="0" applyFont="1" applyFill="1" applyBorder="1" applyAlignment="1">
      <alignment horizontal="center"/>
    </xf>
    <xf numFmtId="0" fontId="35" fillId="17" borderId="16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7" borderId="14" xfId="0" applyFont="1" applyFill="1" applyBorder="1" applyAlignment="1">
      <alignment horizontal="center" vertical="center"/>
    </xf>
    <xf numFmtId="0" fontId="37" fillId="17" borderId="15" xfId="0" applyFont="1" applyFill="1" applyBorder="1" applyAlignment="1">
      <alignment horizontal="center" vertical="center"/>
    </xf>
    <xf numFmtId="0" fontId="37" fillId="17" borderId="16" xfId="0" applyFont="1" applyFill="1" applyBorder="1" applyAlignment="1">
      <alignment horizontal="center" vertical="center"/>
    </xf>
    <xf numFmtId="0" fontId="37" fillId="17" borderId="19" xfId="0" applyFont="1" applyFill="1" applyBorder="1" applyAlignment="1">
      <alignment horizontal="center" vertical="center"/>
    </xf>
    <xf numFmtId="0" fontId="37" fillId="17" borderId="20" xfId="0" applyFont="1" applyFill="1" applyBorder="1" applyAlignment="1">
      <alignment horizontal="center" vertical="center"/>
    </xf>
    <xf numFmtId="0" fontId="37" fillId="17" borderId="21" xfId="0" applyFont="1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10" xfId="0" applyFill="1" applyBorder="1" applyAlignment="1" applyProtection="1">
      <alignment horizontal="left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6" borderId="6" xfId="0" applyFill="1" applyBorder="1" applyAlignment="1" applyProtection="1">
      <alignment horizontal="left"/>
      <protection locked="0"/>
    </xf>
    <xf numFmtId="0" fontId="0" fillId="6" borderId="8" xfId="0" applyFill="1" applyBorder="1" applyAlignment="1" applyProtection="1">
      <alignment horizontal="left"/>
      <protection locked="0"/>
    </xf>
    <xf numFmtId="14" fontId="0" fillId="6" borderId="9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32" xfId="0" applyFill="1" applyBorder="1" applyAlignment="1" applyProtection="1">
      <alignment horizontal="left"/>
      <protection locked="0"/>
    </xf>
    <xf numFmtId="14" fontId="43" fillId="6" borderId="4" xfId="7" applyNumberFormat="1" applyFill="1" applyBorder="1" applyAlignment="1" applyProtection="1">
      <alignment horizontal="center" vertical="center" wrapText="1"/>
      <protection locked="0"/>
    </xf>
    <xf numFmtId="14" fontId="43" fillId="6" borderId="5" xfId="7" applyNumberForma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 wrapText="1"/>
      <protection locked="0"/>
    </xf>
    <xf numFmtId="14" fontId="43" fillId="6" borderId="27" xfId="7" applyNumberFormat="1" applyFill="1" applyBorder="1" applyAlignment="1" applyProtection="1">
      <alignment horizontal="left" vertical="center" wrapText="1"/>
      <protection locked="0"/>
    </xf>
    <xf numFmtId="0" fontId="0" fillId="6" borderId="29" xfId="0" applyFill="1" applyBorder="1" applyAlignment="1" applyProtection="1">
      <alignment horizontal="left" vertical="center"/>
      <protection locked="0"/>
    </xf>
    <xf numFmtId="0" fontId="0" fillId="6" borderId="28" xfId="0" applyFill="1" applyBorder="1" applyAlignment="1" applyProtection="1">
      <alignment horizontal="left" vertical="center"/>
      <protection locked="0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69" fontId="0" fillId="6" borderId="3" xfId="0" applyNumberFormat="1" applyFill="1" applyBorder="1" applyAlignment="1" applyProtection="1">
      <alignment horizontal="center" vertical="center" wrapText="1"/>
      <protection locked="0"/>
    </xf>
    <xf numFmtId="169" fontId="0" fillId="6" borderId="5" xfId="0" applyNumberFormat="1" applyFill="1" applyBorder="1" applyAlignment="1" applyProtection="1">
      <alignment horizontal="center" vertical="center"/>
      <protection locked="0"/>
    </xf>
    <xf numFmtId="0" fontId="31" fillId="4" borderId="3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3" fillId="8" borderId="15" xfId="0" applyFont="1" applyFill="1" applyBorder="1" applyAlignment="1">
      <alignment horizontal="center"/>
    </xf>
    <xf numFmtId="0" fontId="3" fillId="4" borderId="64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6" fillId="17" borderId="14" xfId="0" applyFont="1" applyFill="1" applyBorder="1" applyAlignment="1">
      <alignment horizontal="center" vertical="center"/>
    </xf>
    <xf numFmtId="0" fontId="36" fillId="17" borderId="15" xfId="0" applyFont="1" applyFill="1" applyBorder="1" applyAlignment="1">
      <alignment horizontal="center" vertical="center"/>
    </xf>
    <xf numFmtId="0" fontId="36" fillId="17" borderId="16" xfId="0" applyFont="1" applyFill="1" applyBorder="1" applyAlignment="1">
      <alignment horizontal="center" vertical="center"/>
    </xf>
    <xf numFmtId="0" fontId="36" fillId="17" borderId="19" xfId="0" applyFont="1" applyFill="1" applyBorder="1" applyAlignment="1">
      <alignment horizontal="center" vertical="center"/>
    </xf>
    <xf numFmtId="0" fontId="36" fillId="17" borderId="20" xfId="0" applyFont="1" applyFill="1" applyBorder="1" applyAlignment="1">
      <alignment horizontal="center" vertical="center"/>
    </xf>
    <xf numFmtId="0" fontId="36" fillId="17" borderId="21" xfId="0" applyFont="1" applyFill="1" applyBorder="1" applyAlignment="1">
      <alignment horizontal="center" vertical="center"/>
    </xf>
    <xf numFmtId="0" fontId="0" fillId="6" borderId="12" xfId="1" applyNumberFormat="1" applyFont="1" applyFill="1" applyBorder="1" applyAlignment="1" applyProtection="1">
      <alignment horizontal="center" vertical="center"/>
      <protection locked="0"/>
    </xf>
    <xf numFmtId="0" fontId="0" fillId="6" borderId="13" xfId="1" applyNumberFormat="1" applyFont="1" applyFill="1" applyBorder="1" applyAlignment="1" applyProtection="1">
      <alignment horizontal="center" vertical="center"/>
      <protection locked="0"/>
    </xf>
    <xf numFmtId="0" fontId="0" fillId="6" borderId="1" xfId="1" applyNumberFormat="1" applyFont="1" applyFill="1" applyBorder="1" applyAlignment="1" applyProtection="1">
      <alignment horizontal="center" vertical="center"/>
      <protection locked="0"/>
    </xf>
    <xf numFmtId="0" fontId="0" fillId="6" borderId="10" xfId="1" applyNumberFormat="1" applyFont="1" applyFill="1" applyBorder="1" applyAlignment="1" applyProtection="1">
      <alignment horizontal="center" vertical="center"/>
      <protection locked="0"/>
    </xf>
    <xf numFmtId="0" fontId="0" fillId="6" borderId="7" xfId="1" applyNumberFormat="1" applyFont="1" applyFill="1" applyBorder="1" applyAlignment="1" applyProtection="1">
      <alignment horizontal="center" vertical="center"/>
      <protection locked="0"/>
    </xf>
    <xf numFmtId="0" fontId="0" fillId="6" borderId="8" xfId="1" applyNumberFormat="1" applyFont="1" applyFill="1" applyBorder="1" applyAlignment="1" applyProtection="1">
      <alignment horizontal="center" vertical="center"/>
      <protection locked="0"/>
    </xf>
    <xf numFmtId="0" fontId="35" fillId="17" borderId="3" xfId="0" applyFont="1" applyFill="1" applyBorder="1" applyAlignment="1">
      <alignment horizontal="center" vertical="center"/>
    </xf>
    <xf numFmtId="0" fontId="35" fillId="17" borderId="5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/>
    </xf>
    <xf numFmtId="0" fontId="44" fillId="4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4" fontId="34" fillId="8" borderId="0" xfId="1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5" fillId="17" borderId="27" xfId="0" applyFont="1" applyFill="1" applyBorder="1" applyAlignment="1">
      <alignment horizontal="center" vertical="center"/>
    </xf>
    <xf numFmtId="0" fontId="35" fillId="17" borderId="29" xfId="0" applyFont="1" applyFill="1" applyBorder="1" applyAlignment="1">
      <alignment horizontal="center" vertic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5" fillId="17" borderId="4" xfId="0" applyFont="1" applyFill="1" applyBorder="1" applyAlignment="1">
      <alignment horizontal="center" vertical="center"/>
    </xf>
    <xf numFmtId="0" fontId="0" fillId="6" borderId="50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9" fontId="3" fillId="4" borderId="0" xfId="2" applyFont="1" applyFill="1" applyBorder="1" applyAlignment="1">
      <alignment horizontal="center" vertical="center"/>
    </xf>
    <xf numFmtId="9" fontId="3" fillId="4" borderId="61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0" fontId="35" fillId="17" borderId="28" xfId="0" applyFont="1" applyFill="1" applyBorder="1" applyAlignment="1">
      <alignment horizontal="center" vertical="center"/>
    </xf>
    <xf numFmtId="0" fontId="0" fillId="6" borderId="60" xfId="0" applyFill="1" applyBorder="1" applyAlignment="1" applyProtection="1">
      <alignment horizontal="center" vertical="center" wrapText="1"/>
      <protection locked="0"/>
    </xf>
    <xf numFmtId="0" fontId="0" fillId="6" borderId="51" xfId="0" applyFill="1" applyBorder="1" applyAlignment="1" applyProtection="1">
      <alignment horizontal="center" vertical="center" wrapText="1"/>
      <protection locked="0"/>
    </xf>
    <xf numFmtId="0" fontId="0" fillId="6" borderId="52" xfId="0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 wrapText="1"/>
      <protection locked="0"/>
    </xf>
    <xf numFmtId="0" fontId="35" fillId="17" borderId="49" xfId="0" applyFont="1" applyFill="1" applyBorder="1" applyAlignment="1">
      <alignment horizontal="center" vertical="center"/>
    </xf>
    <xf numFmtId="164" fontId="0" fillId="6" borderId="1" xfId="0" applyNumberFormat="1" applyFill="1" applyBorder="1" applyAlignment="1" applyProtection="1">
      <alignment horizontal="center" vertical="center" wrapText="1"/>
      <protection locked="0"/>
    </xf>
    <xf numFmtId="164" fontId="0" fillId="6" borderId="10" xfId="0" applyNumberFormat="1" applyFill="1" applyBorder="1" applyAlignment="1" applyProtection="1">
      <alignment horizontal="center" vertical="center" wrapText="1"/>
      <protection locked="0"/>
    </xf>
    <xf numFmtId="0" fontId="0" fillId="6" borderId="50" xfId="0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 wrapText="1"/>
      <protection locked="0"/>
    </xf>
    <xf numFmtId="0" fontId="0" fillId="6" borderId="2" xfId="1" applyNumberFormat="1" applyFont="1" applyFill="1" applyBorder="1" applyAlignment="1" applyProtection="1">
      <alignment horizontal="center" vertical="center"/>
      <protection locked="0"/>
    </xf>
    <xf numFmtId="0" fontId="0" fillId="6" borderId="54" xfId="1" applyNumberFormat="1" applyFont="1" applyFill="1" applyBorder="1" applyAlignment="1" applyProtection="1">
      <alignment horizontal="center" vertical="center"/>
      <protection locked="0"/>
    </xf>
    <xf numFmtId="164" fontId="34" fillId="4" borderId="65" xfId="1" applyNumberFormat="1" applyFont="1" applyFill="1" applyBorder="1" applyAlignment="1">
      <alignment horizontal="center" vertical="center"/>
    </xf>
    <xf numFmtId="164" fontId="34" fillId="4" borderId="62" xfId="1" applyNumberFormat="1" applyFont="1" applyFill="1" applyBorder="1" applyAlignment="1">
      <alignment horizontal="center" vertical="center"/>
    </xf>
    <xf numFmtId="164" fontId="34" fillId="4" borderId="63" xfId="1" applyNumberFormat="1" applyFont="1" applyFill="1" applyBorder="1" applyAlignment="1">
      <alignment horizontal="center" vertical="center"/>
    </xf>
    <xf numFmtId="164" fontId="34" fillId="4" borderId="66" xfId="1" applyNumberFormat="1" applyFont="1" applyFill="1" applyBorder="1" applyAlignment="1">
      <alignment horizontal="center" vertical="center"/>
    </xf>
    <xf numFmtId="0" fontId="35" fillId="17" borderId="67" xfId="0" applyFont="1" applyFill="1" applyBorder="1" applyAlignment="1">
      <alignment horizontal="center" vertical="center"/>
    </xf>
    <xf numFmtId="164" fontId="0" fillId="6" borderId="24" xfId="0" applyNumberFormat="1" applyFill="1" applyBorder="1" applyAlignment="1" applyProtection="1">
      <alignment horizontal="center" vertical="center"/>
      <protection locked="0"/>
    </xf>
    <xf numFmtId="164" fontId="0" fillId="6" borderId="48" xfId="0" applyNumberFormat="1" applyFill="1" applyBorder="1" applyAlignment="1" applyProtection="1">
      <alignment horizontal="center" vertical="center"/>
      <protection locked="0"/>
    </xf>
    <xf numFmtId="164" fontId="0" fillId="6" borderId="26" xfId="0" applyNumberFormat="1" applyFill="1" applyBorder="1" applyAlignment="1" applyProtection="1">
      <alignment horizontal="center" vertical="center"/>
      <protection locked="0"/>
    </xf>
    <xf numFmtId="164" fontId="0" fillId="6" borderId="25" xfId="0" applyNumberFormat="1" applyFill="1" applyBorder="1" applyAlignment="1" applyProtection="1">
      <alignment horizontal="center" vertical="center"/>
      <protection locked="0"/>
    </xf>
    <xf numFmtId="164" fontId="0" fillId="6" borderId="55" xfId="0" applyNumberFormat="1" applyFill="1" applyBorder="1" applyAlignment="1" applyProtection="1">
      <alignment horizontal="center" vertical="center"/>
      <protection locked="0"/>
    </xf>
    <xf numFmtId="164" fontId="0" fillId="6" borderId="53" xfId="0" applyNumberFormat="1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wrapText="1"/>
      <protection locked="0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35" fillId="17" borderId="27" xfId="0" applyFont="1" applyFill="1" applyBorder="1" applyAlignment="1">
      <alignment horizontal="center"/>
    </xf>
    <xf numFmtId="0" fontId="35" fillId="17" borderId="29" xfId="0" applyFont="1" applyFill="1" applyBorder="1" applyAlignment="1">
      <alignment horizontal="center"/>
    </xf>
    <xf numFmtId="0" fontId="35" fillId="17" borderId="52" xfId="0" applyFont="1" applyFill="1" applyBorder="1" applyAlignment="1">
      <alignment horizontal="center" vertical="center"/>
    </xf>
    <xf numFmtId="0" fontId="35" fillId="17" borderId="48" xfId="0" applyFont="1" applyFill="1" applyBorder="1" applyAlignment="1">
      <alignment horizontal="center" vertical="center"/>
    </xf>
    <xf numFmtId="0" fontId="35" fillId="17" borderId="2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9" fillId="16" borderId="50" xfId="0" applyFont="1" applyFill="1" applyBorder="1" applyAlignment="1">
      <alignment horizontal="center" vertical="center"/>
    </xf>
    <xf numFmtId="0" fontId="39" fillId="16" borderId="55" xfId="0" applyFont="1" applyFill="1" applyBorder="1" applyAlignment="1">
      <alignment horizontal="center" vertical="center"/>
    </xf>
    <xf numFmtId="0" fontId="39" fillId="16" borderId="53" xfId="0" applyFont="1" applyFill="1" applyBorder="1" applyAlignment="1">
      <alignment horizontal="center" vertical="center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left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1" xfId="0" applyBorder="1" applyAlignment="1">
      <alignment horizontal="center"/>
    </xf>
    <xf numFmtId="164" fontId="0" fillId="6" borderId="3" xfId="1" applyNumberFormat="1" applyFont="1" applyFill="1" applyBorder="1" applyAlignment="1" applyProtection="1">
      <alignment horizontal="center"/>
      <protection locked="0"/>
    </xf>
    <xf numFmtId="164" fontId="0" fillId="6" borderId="5" xfId="1" applyNumberFormat="1" applyFont="1" applyFill="1" applyBorder="1" applyAlignment="1" applyProtection="1">
      <alignment horizontal="center"/>
      <protection locked="0"/>
    </xf>
    <xf numFmtId="0" fontId="35" fillId="17" borderId="3" xfId="0" applyFont="1" applyFill="1" applyBorder="1" applyAlignment="1">
      <alignment horizontal="center"/>
    </xf>
    <xf numFmtId="0" fontId="35" fillId="17" borderId="4" xfId="0" applyFont="1" applyFill="1" applyBorder="1" applyAlignment="1">
      <alignment horizontal="center"/>
    </xf>
    <xf numFmtId="0" fontId="35" fillId="17" borderId="5" xfId="0" applyFont="1" applyFill="1" applyBorder="1" applyAlignment="1">
      <alignment horizontal="center"/>
    </xf>
    <xf numFmtId="0" fontId="38" fillId="17" borderId="29" xfId="0" applyFont="1" applyFill="1" applyBorder="1" applyAlignment="1">
      <alignment horizontal="center" vertical="center"/>
    </xf>
    <xf numFmtId="0" fontId="38" fillId="17" borderId="28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14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13" fillId="15" borderId="14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19" xfId="0" applyFont="1" applyFill="1" applyBorder="1" applyAlignment="1">
      <alignment horizontal="center" vertical="center"/>
    </xf>
    <xf numFmtId="0" fontId="13" fillId="15" borderId="20" xfId="0" applyFont="1" applyFill="1" applyBorder="1" applyAlignment="1">
      <alignment horizontal="center" vertical="center"/>
    </xf>
    <xf numFmtId="0" fontId="13" fillId="15" borderId="2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6" fillId="17" borderId="17" xfId="0" applyFont="1" applyFill="1" applyBorder="1" applyAlignment="1">
      <alignment horizontal="center" vertical="center"/>
    </xf>
    <xf numFmtId="0" fontId="36" fillId="17" borderId="0" xfId="0" applyFont="1" applyFill="1" applyAlignment="1">
      <alignment horizontal="center" vertical="center"/>
    </xf>
    <xf numFmtId="0" fontId="13" fillId="17" borderId="14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13" fillId="17" borderId="16" xfId="0" applyFont="1" applyFill="1" applyBorder="1" applyAlignment="1">
      <alignment horizontal="center" vertical="center"/>
    </xf>
    <xf numFmtId="0" fontId="13" fillId="17" borderId="17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3" fillId="17" borderId="18" xfId="0" applyFont="1" applyFill="1" applyBorder="1" applyAlignment="1">
      <alignment horizontal="center" vertical="center"/>
    </xf>
    <xf numFmtId="0" fontId="13" fillId="17" borderId="19" xfId="0" applyFont="1" applyFill="1" applyBorder="1" applyAlignment="1">
      <alignment horizontal="center" vertical="center"/>
    </xf>
    <xf numFmtId="0" fontId="13" fillId="17" borderId="20" xfId="0" applyFont="1" applyFill="1" applyBorder="1" applyAlignment="1">
      <alignment horizontal="center" vertical="center"/>
    </xf>
    <xf numFmtId="0" fontId="13" fillId="17" borderId="21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 wrapText="1"/>
    </xf>
    <xf numFmtId="0" fontId="16" fillId="11" borderId="14" xfId="3" applyFont="1" applyFill="1" applyBorder="1" applyAlignment="1" applyProtection="1">
      <alignment horizontal="center"/>
      <protection hidden="1"/>
    </xf>
    <xf numFmtId="0" fontId="16" fillId="11" borderId="16" xfId="3" applyFont="1" applyFill="1" applyBorder="1" applyAlignment="1" applyProtection="1">
      <alignment horizontal="center"/>
      <protection hidden="1"/>
    </xf>
    <xf numFmtId="0" fontId="11" fillId="0" borderId="41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1" borderId="15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1" borderId="33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39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7" fillId="9" borderId="14" xfId="5" applyFont="1" applyFill="1" applyBorder="1" applyAlignment="1" applyProtection="1">
      <alignment horizontal="center"/>
      <protection hidden="1"/>
    </xf>
    <xf numFmtId="0" fontId="17" fillId="9" borderId="15" xfId="5" applyFont="1" applyFill="1" applyBorder="1" applyAlignment="1" applyProtection="1">
      <alignment horizontal="center"/>
      <protection hidden="1"/>
    </xf>
    <xf numFmtId="0" fontId="17" fillId="9" borderId="16" xfId="5" applyFont="1" applyFill="1" applyBorder="1" applyAlignment="1" applyProtection="1">
      <alignment horizontal="center"/>
      <protection hidden="1"/>
    </xf>
    <xf numFmtId="0" fontId="19" fillId="9" borderId="17" xfId="6" applyFont="1" applyFill="1" applyBorder="1" applyAlignment="1" applyProtection="1">
      <alignment horizontal="center" vertical="center"/>
      <protection hidden="1"/>
    </xf>
    <xf numFmtId="0" fontId="20" fillId="9" borderId="0" xfId="5" applyFont="1" applyFill="1" applyAlignment="1" applyProtection="1">
      <alignment horizontal="center" vertical="center"/>
      <protection hidden="1"/>
    </xf>
    <xf numFmtId="0" fontId="20" fillId="9" borderId="17" xfId="5" applyFont="1" applyFill="1" applyBorder="1" applyAlignment="1" applyProtection="1">
      <alignment horizontal="center" vertical="center"/>
      <protection hidden="1"/>
    </xf>
    <xf numFmtId="0" fontId="21" fillId="10" borderId="0" xfId="5" applyFont="1" applyFill="1" applyAlignment="1" applyProtection="1">
      <alignment horizontal="center" vertical="center"/>
      <protection hidden="1"/>
    </xf>
    <xf numFmtId="0" fontId="21" fillId="10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wrapText="1"/>
    </xf>
    <xf numFmtId="0" fontId="26" fillId="9" borderId="0" xfId="5" applyFont="1" applyFill="1" applyAlignment="1" applyProtection="1">
      <alignment horizontal="center" vertical="center"/>
      <protection hidden="1"/>
    </xf>
    <xf numFmtId="0" fontId="26" fillId="9" borderId="18" xfId="5" applyFont="1" applyFill="1" applyBorder="1" applyAlignment="1" applyProtection="1">
      <alignment horizontal="center" vertical="center"/>
      <protection hidden="1"/>
    </xf>
    <xf numFmtId="0" fontId="28" fillId="9" borderId="17" xfId="5" applyFont="1" applyFill="1" applyBorder="1" applyAlignment="1" applyProtection="1">
      <alignment horizontal="center"/>
      <protection hidden="1"/>
    </xf>
    <xf numFmtId="0" fontId="28" fillId="9" borderId="0" xfId="5" applyFont="1" applyFill="1" applyAlignment="1" applyProtection="1">
      <alignment horizontal="center"/>
      <protection hidden="1"/>
    </xf>
    <xf numFmtId="0" fontId="28" fillId="9" borderId="18" xfId="5" applyFont="1" applyFill="1" applyBorder="1" applyAlignment="1" applyProtection="1">
      <alignment horizontal="center"/>
      <protection hidden="1"/>
    </xf>
  </cellXfs>
  <cellStyles count="8">
    <cellStyle name="Lien hypertexte" xfId="7" builtinId="8"/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213444"/>
      <color rgb="FFDFC341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10871</xdr:colOff>
      <xdr:row>30</xdr:row>
      <xdr:rowOff>163268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0659" y="995082"/>
          <a:ext cx="10963836" cy="5298140"/>
        </a:xfrm>
        <a:prstGeom prst="rect">
          <a:avLst/>
        </a:prstGeom>
      </xdr:spPr>
    </xdr:pic>
    <xdr:clientData/>
  </xdr:twoCellAnchor>
  <xdr:twoCellAnchor>
    <xdr:from>
      <xdr:col>5</xdr:col>
      <xdr:colOff>748554</xdr:colOff>
      <xdr:row>5</xdr:row>
      <xdr:rowOff>188259</xdr:rowOff>
    </xdr:from>
    <xdr:to>
      <xdr:col>9</xdr:col>
      <xdr:colOff>103094</xdr:colOff>
      <xdr:row>18</xdr:row>
      <xdr:rowOff>134471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59942" y="1174377"/>
          <a:ext cx="2725270" cy="272527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1566" y="4052047"/>
          <a:ext cx="8122022" cy="1837764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fr-FR" sz="36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188259</xdr:colOff>
      <xdr:row>6</xdr:row>
      <xdr:rowOff>233082</xdr:rowOff>
    </xdr:from>
    <xdr:to>
      <xdr:col>8</xdr:col>
      <xdr:colOff>658323</xdr:colOff>
      <xdr:row>17</xdr:row>
      <xdr:rowOff>53921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330" y="1416423"/>
          <a:ext cx="2153523" cy="22092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647700</xdr:colOff>
      <xdr:row>2</xdr:row>
      <xdr:rowOff>275008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F7686A4-7BFD-4E5E-9652-C61874C1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94" y="252632"/>
          <a:ext cx="442546" cy="4643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478545</xdr:colOff>
      <xdr:row>2</xdr:row>
      <xdr:rowOff>206209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517848</xdr:colOff>
      <xdr:row>2</xdr:row>
      <xdr:rowOff>207196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36</xdr:row>
      <xdr:rowOff>46382</xdr:rowOff>
    </xdr:from>
    <xdr:to>
      <xdr:col>1</xdr:col>
      <xdr:colOff>553876</xdr:colOff>
      <xdr:row>37</xdr:row>
      <xdr:rowOff>207195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59965</xdr:colOff>
      <xdr:row>62</xdr:row>
      <xdr:rowOff>18552</xdr:rowOff>
    </xdr:from>
    <xdr:to>
      <xdr:col>1</xdr:col>
      <xdr:colOff>468068</xdr:colOff>
      <xdr:row>63</xdr:row>
      <xdr:rowOff>362245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4D1C43-99EB-412D-B6FC-FA1E8704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05" y="8461512"/>
          <a:ext cx="408103" cy="4122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210012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2</xdr:row>
      <xdr:rowOff>53008</xdr:rowOff>
    </xdr:from>
    <xdr:to>
      <xdr:col>1</xdr:col>
      <xdr:colOff>494159</xdr:colOff>
      <xdr:row>3</xdr:row>
      <xdr:rowOff>270972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28083A-2C62-4815-868C-FFAC91557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91" y="106348"/>
          <a:ext cx="394768" cy="408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tienne ARNAUD" id="{EA4E7C0F-8973-4ED5-B392-F3507552F9E1}" userId="S::earnaud@tailored-finance.fr::26dbd6e4-4795-45a0-b588-4ccd82dd3f3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2-12-15T10:45:24.20" personId="{EA4E7C0F-8973-4ED5-B392-F3507552F9E1}" id="{0DA5FFEE-24D5-4E6E-AEB2-1FCB1A3BA129}">
    <text>Plafond de 5959€ par personne pensionnée</text>
  </threadedComment>
  <threadedComment ref="G34" dT="2022-12-15T10:49:08.21" personId="{EA4E7C0F-8973-4ED5-B392-F3507552F9E1}" id="{C77B03D7-DD8E-46F7-A84B-2C23186E598D}">
    <text>Plafond de 10.000€ des niches fiscales commun avec les crédits d'impôt
Dons aux œuvres : Entre 66 et 75% des dépenses en fonction des organismes - Plafonné à 20% des revenus</text>
  </threadedComment>
  <threadedComment ref="G35" dT="2022-12-15T10:56:28.12" personId="{EA4E7C0F-8973-4ED5-B392-F3507552F9E1}" id="{8A40CE59-C7F2-4ECB-BA93-EC5F94674062}">
    <text>Plafond de 10.000€ des niches fiscales commun avec les réductions
Employés à domicile : 50% des dépenses plafonnées à 12.000€ (15.000€ pour la première année d'emploi) (soit 6000€ de CI ou 7500€ pour la première année d'emploi) + Majoration de 1.500€ par enfant ou personne de +65 ans à charge (dans la limite de deux majorations) (Soit 750€ de CI supplémentaire dans la limite de 2). Plafond total résumé : 7500€ de Crédit (9000€ la première année) AVEC LES MAJORATIONS 
Frais de garde extérieur : 50% des dépenses plafonnées à 2300€ par enfant (soit 1150€ de crédit d'impôt maxi)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2-12-15T11:03:10.41" personId="{EA4E7C0F-8973-4ED5-B392-F3507552F9E1}" id="{94D4351B-C691-4822-A824-E59C138FD2E5}">
    <text>ATTENTION - Mensualité assurance comprise</text>
  </threadedComment>
  <threadedComment ref="J13" dT="2022-12-15T11:03:23.14" personId="{EA4E7C0F-8973-4ED5-B392-F3507552F9E1}" id="{443C3DE1-196B-481D-95F0-46FF326E5F4A}">
    <text>ATTENTION - Mensualité assurance comprise</text>
  </threadedComment>
  <threadedComment ref="K13" dT="2022-12-15T11:03:53.47" personId="{EA4E7C0F-8973-4ED5-B392-F3507552F9E1}" id="{48BF648E-3C66-4799-8A9D-1D7FA1B72F48}">
    <text>Indiquez le loyer HORS CHARGE</text>
  </threadedComment>
  <threadedComment ref="J14" dT="2022-12-15T11:03:28.32" personId="{EA4E7C0F-8973-4ED5-B392-F3507552F9E1}" id="{814A89F7-63D6-467D-A8B1-73D841DC5CB5}">
    <text>ATTENTION - Mensualité assurance comprise</text>
  </threadedComment>
  <threadedComment ref="K14" dT="2022-12-15T11:03:55.89" personId="{EA4E7C0F-8973-4ED5-B392-F3507552F9E1}" id="{CB178046-EA58-4FF9-9303-F9BF8E9C91B7}">
    <text xml:space="preserve">Indiquez le loyer HORS CHARGE
</text>
  </threadedComment>
  <threadedComment ref="J15" dT="2022-12-15T11:03:31.03" personId="{EA4E7C0F-8973-4ED5-B392-F3507552F9E1}" id="{819C6BD4-72C6-4C86-A432-831BAAAED677}">
    <text>ATTENTION - Mensualité assurance comprise</text>
  </threadedComment>
  <threadedComment ref="K15" dT="2022-12-15T11:03:59.37" personId="{EA4E7C0F-8973-4ED5-B392-F3507552F9E1}" id="{498510B1-0CEE-41DB-A6B7-9AF8F6D71DEC}">
    <text xml:space="preserve">Indiquez le loyer HORS CHARGE
</text>
  </threadedComment>
  <threadedComment ref="J16" dT="2022-12-15T11:03:34.35" personId="{EA4E7C0F-8973-4ED5-B392-F3507552F9E1}" id="{A337F14E-4CE7-4EC5-814E-56341E0D11F2}">
    <text>ATTENTION - Mensualité assurance comprise</text>
  </threadedComment>
  <threadedComment ref="K16" dT="2022-12-15T11:04:02.41" personId="{EA4E7C0F-8973-4ED5-B392-F3507552F9E1}" id="{ECF5F3FC-E91B-49A9-86C3-74B6FC103792}">
    <text xml:space="preserve">Indiquez le loyer HORS CHARGE
</text>
  </threadedComment>
  <threadedComment ref="B41" dT="2022-12-15T11:02:10.77" personId="{EA4E7C0F-8973-4ED5-B392-F3507552F9E1}" id="{E9D243D8-ADB8-423F-AAD9-285272419F84}">
    <text>Livrets, Comptes courants, CEL...</text>
  </threadedComment>
  <threadedComment ref="B52" dT="2022-12-15T11:02:37.69" personId="{EA4E7C0F-8973-4ED5-B392-F3507552F9E1}" id="{511323BF-172A-4F57-8BE4-417119F0FA98}">
    <text>PPE, PERCO, PERIN, Assurance-vie, PEL</text>
  </threadedComment>
  <threadedComment ref="B58" dT="2022-12-15T11:02:48.15" personId="{EA4E7C0F-8973-4ED5-B392-F3507552F9E1}" id="{FB47D159-C280-4AE9-A356-A71610C023B1}">
    <text>Crypto, Actions en propre etc...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orrigetonimpot.fr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28"/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</row>
    <row r="2" spans="1:15" x14ac:dyDescent="0.3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3" spans="1:15" x14ac:dyDescent="0.3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</row>
    <row r="4" spans="1:15" x14ac:dyDescent="0.3">
      <c r="A4" s="328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</row>
    <row r="5" spans="1:15" x14ac:dyDescent="0.3">
      <c r="A5" s="328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</row>
    <row r="6" spans="1:15" x14ac:dyDescent="0.3">
      <c r="A6" s="328"/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</row>
    <row r="7" spans="1:15" x14ac:dyDescent="0.3">
      <c r="A7" s="328"/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</row>
    <row r="8" spans="1:15" x14ac:dyDescent="0.3">
      <c r="A8" s="328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</row>
    <row r="9" spans="1:15" x14ac:dyDescent="0.3">
      <c r="A9" s="328"/>
      <c r="B9" s="328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</row>
    <row r="10" spans="1:15" x14ac:dyDescent="0.3">
      <c r="A10" s="328"/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</row>
    <row r="11" spans="1:15" x14ac:dyDescent="0.3">
      <c r="A11" s="328"/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</row>
    <row r="12" spans="1:15" x14ac:dyDescent="0.3">
      <c r="A12" s="328"/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</row>
    <row r="13" spans="1:15" x14ac:dyDescent="0.3">
      <c r="A13" s="328"/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</row>
    <row r="14" spans="1:15" x14ac:dyDescent="0.3">
      <c r="A14" s="328"/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8"/>
      <c r="M14" s="328"/>
      <c r="N14" s="328"/>
      <c r="O14" s="328"/>
    </row>
    <row r="15" spans="1:15" x14ac:dyDescent="0.3">
      <c r="A15" s="328"/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</row>
    <row r="16" spans="1:15" x14ac:dyDescent="0.3">
      <c r="A16" s="328"/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</row>
    <row r="17" spans="1:15" x14ac:dyDescent="0.3">
      <c r="A17" s="328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</row>
    <row r="18" spans="1:15" x14ac:dyDescent="0.3">
      <c r="A18" s="328"/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</row>
    <row r="19" spans="1:15" x14ac:dyDescent="0.3">
      <c r="A19" s="328"/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</row>
    <row r="20" spans="1:15" x14ac:dyDescent="0.3">
      <c r="A20" s="328"/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</row>
    <row r="21" spans="1:15" x14ac:dyDescent="0.3">
      <c r="A21" s="328"/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</row>
    <row r="22" spans="1:15" x14ac:dyDescent="0.3">
      <c r="A22" s="328"/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</row>
    <row r="23" spans="1:15" x14ac:dyDescent="0.3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A965-210D-487C-8E60-B70461BE4C85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5C55-0348-4377-9892-0F3652628688}">
  <dimension ref="B3:I19"/>
  <sheetViews>
    <sheetView workbookViewId="0">
      <selection activeCell="L15" sqref="L15"/>
    </sheetView>
  </sheetViews>
  <sheetFormatPr baseColWidth="10" defaultRowHeight="15.6" x14ac:dyDescent="0.3"/>
  <cols>
    <col min="7" max="7" width="22.3984375" customWidth="1"/>
  </cols>
  <sheetData>
    <row r="3" spans="2:9" ht="15.6" customHeight="1" x14ac:dyDescent="0.3">
      <c r="B3" s="548" t="s">
        <v>257</v>
      </c>
      <c r="C3" s="549"/>
      <c r="D3" s="549"/>
      <c r="E3" s="549"/>
      <c r="F3" s="549"/>
      <c r="G3" s="549"/>
      <c r="H3" s="549"/>
      <c r="I3" s="549"/>
    </row>
    <row r="4" spans="2:9" ht="27.6" customHeight="1" x14ac:dyDescent="0.3">
      <c r="B4" s="548"/>
      <c r="C4" s="549"/>
      <c r="D4" s="549"/>
      <c r="E4" s="549"/>
      <c r="F4" s="549"/>
      <c r="G4" s="549"/>
      <c r="H4" s="549"/>
      <c r="I4" s="549"/>
    </row>
    <row r="5" spans="2:9" ht="6" customHeight="1" thickBot="1" x14ac:dyDescent="0.35"/>
    <row r="6" spans="2:9" x14ac:dyDescent="0.3">
      <c r="B6" s="539" t="s">
        <v>258</v>
      </c>
      <c r="C6" s="540"/>
      <c r="D6" s="540"/>
      <c r="E6" s="540"/>
      <c r="F6" s="540"/>
      <c r="G6" s="540"/>
      <c r="H6" s="540"/>
      <c r="I6" s="541"/>
    </row>
    <row r="7" spans="2:9" x14ac:dyDescent="0.3">
      <c r="B7" s="542"/>
      <c r="C7" s="543"/>
      <c r="D7" s="543"/>
      <c r="E7" s="543"/>
      <c r="F7" s="543"/>
      <c r="G7" s="543"/>
      <c r="H7" s="543"/>
      <c r="I7" s="544"/>
    </row>
    <row r="8" spans="2:9" ht="16.2" thickBot="1" x14ac:dyDescent="0.35">
      <c r="B8" s="545"/>
      <c r="C8" s="546"/>
      <c r="D8" s="546"/>
      <c r="E8" s="546"/>
      <c r="F8" s="546"/>
      <c r="G8" s="546"/>
      <c r="H8" s="546"/>
      <c r="I8" s="547"/>
    </row>
    <row r="9" spans="2:9" ht="16.2" thickBot="1" x14ac:dyDescent="0.35"/>
    <row r="10" spans="2:9" x14ac:dyDescent="0.3">
      <c r="B10" s="539" t="s">
        <v>259</v>
      </c>
      <c r="C10" s="540"/>
      <c r="D10" s="540"/>
      <c r="E10" s="540"/>
      <c r="F10" s="540"/>
      <c r="G10" s="540"/>
      <c r="H10" s="540"/>
      <c r="I10" s="541"/>
    </row>
    <row r="11" spans="2:9" x14ac:dyDescent="0.3">
      <c r="B11" s="542"/>
      <c r="C11" s="543"/>
      <c r="D11" s="543"/>
      <c r="E11" s="543"/>
      <c r="F11" s="543"/>
      <c r="G11" s="543"/>
      <c r="H11" s="543"/>
      <c r="I11" s="544"/>
    </row>
    <row r="12" spans="2:9" x14ac:dyDescent="0.3">
      <c r="B12" s="542"/>
      <c r="C12" s="543"/>
      <c r="D12" s="543"/>
      <c r="E12" s="543"/>
      <c r="F12" s="543"/>
      <c r="G12" s="543"/>
      <c r="H12" s="543"/>
      <c r="I12" s="544"/>
    </row>
    <row r="13" spans="2:9" x14ac:dyDescent="0.3">
      <c r="B13" s="542"/>
      <c r="C13" s="543"/>
      <c r="D13" s="543"/>
      <c r="E13" s="543"/>
      <c r="F13" s="543"/>
      <c r="G13" s="543"/>
      <c r="H13" s="543"/>
      <c r="I13" s="544"/>
    </row>
    <row r="14" spans="2:9" x14ac:dyDescent="0.3">
      <c r="B14" s="542"/>
      <c r="C14" s="543"/>
      <c r="D14" s="543"/>
      <c r="E14" s="543"/>
      <c r="F14" s="543"/>
      <c r="G14" s="543"/>
      <c r="H14" s="543"/>
      <c r="I14" s="544"/>
    </row>
    <row r="15" spans="2:9" x14ac:dyDescent="0.3">
      <c r="B15" s="542"/>
      <c r="C15" s="543"/>
      <c r="D15" s="543"/>
      <c r="E15" s="543"/>
      <c r="F15" s="543"/>
      <c r="G15" s="543"/>
      <c r="H15" s="543"/>
      <c r="I15" s="544"/>
    </row>
    <row r="16" spans="2:9" x14ac:dyDescent="0.3">
      <c r="B16" s="542"/>
      <c r="C16" s="543"/>
      <c r="D16" s="543"/>
      <c r="E16" s="543"/>
      <c r="F16" s="543"/>
      <c r="G16" s="543"/>
      <c r="H16" s="543"/>
      <c r="I16" s="544"/>
    </row>
    <row r="17" spans="2:9" x14ac:dyDescent="0.3">
      <c r="B17" s="542"/>
      <c r="C17" s="543"/>
      <c r="D17" s="543"/>
      <c r="E17" s="543"/>
      <c r="F17" s="543"/>
      <c r="G17" s="543"/>
      <c r="H17" s="543"/>
      <c r="I17" s="544"/>
    </row>
    <row r="18" spans="2:9" x14ac:dyDescent="0.3">
      <c r="B18" s="542"/>
      <c r="C18" s="543"/>
      <c r="D18" s="543"/>
      <c r="E18" s="543"/>
      <c r="F18" s="543"/>
      <c r="G18" s="543"/>
      <c r="H18" s="543"/>
      <c r="I18" s="544"/>
    </row>
    <row r="19" spans="2:9" ht="16.2" thickBot="1" x14ac:dyDescent="0.35">
      <c r="B19" s="545"/>
      <c r="C19" s="546"/>
      <c r="D19" s="546"/>
      <c r="E19" s="546"/>
      <c r="F19" s="546"/>
      <c r="G19" s="546"/>
      <c r="H19" s="546"/>
      <c r="I19" s="547"/>
    </row>
  </sheetData>
  <mergeCells count="3">
    <mergeCell ref="B6:I8"/>
    <mergeCell ref="B3:I4"/>
    <mergeCell ref="B10:I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E466-89EC-4E92-ADA3-545065A81282}">
  <dimension ref="B1:I11"/>
  <sheetViews>
    <sheetView showGridLines="0" workbookViewId="0">
      <selection activeCell="B4" sqref="B4:I11"/>
    </sheetView>
  </sheetViews>
  <sheetFormatPr baseColWidth="10" defaultColWidth="11" defaultRowHeight="15.6" x14ac:dyDescent="0.3"/>
  <sheetData>
    <row r="1" spans="2:9" ht="16.2" thickBot="1" x14ac:dyDescent="0.35"/>
    <row r="2" spans="2:9" ht="18.45" customHeight="1" x14ac:dyDescent="0.3">
      <c r="B2" s="550" t="s">
        <v>161</v>
      </c>
      <c r="C2" s="551"/>
      <c r="D2" s="551"/>
      <c r="E2" s="551"/>
      <c r="F2" s="551"/>
      <c r="G2" s="551"/>
      <c r="H2" s="551"/>
      <c r="I2" s="552"/>
    </row>
    <row r="3" spans="2:9" ht="25.2" customHeight="1" thickBot="1" x14ac:dyDescent="0.35">
      <c r="B3" s="553"/>
      <c r="C3" s="554"/>
      <c r="D3" s="554"/>
      <c r="E3" s="554"/>
      <c r="F3" s="554"/>
      <c r="G3" s="554"/>
      <c r="H3" s="554"/>
      <c r="I3" s="555"/>
    </row>
    <row r="4" spans="2:9" ht="30" customHeight="1" x14ac:dyDescent="0.3">
      <c r="B4" s="539" t="s">
        <v>282</v>
      </c>
      <c r="C4" s="540"/>
      <c r="D4" s="540"/>
      <c r="E4" s="540"/>
      <c r="F4" s="540"/>
      <c r="G4" s="540"/>
      <c r="H4" s="540"/>
      <c r="I4" s="541"/>
    </row>
    <row r="5" spans="2:9" ht="30" customHeight="1" x14ac:dyDescent="0.3">
      <c r="B5" s="542"/>
      <c r="C5" s="543"/>
      <c r="D5" s="543"/>
      <c r="E5" s="543"/>
      <c r="F5" s="543"/>
      <c r="G5" s="543"/>
      <c r="H5" s="543"/>
      <c r="I5" s="544"/>
    </row>
    <row r="6" spans="2:9" ht="30" customHeight="1" x14ac:dyDescent="0.3">
      <c r="B6" s="542"/>
      <c r="C6" s="543"/>
      <c r="D6" s="543"/>
      <c r="E6" s="543"/>
      <c r="F6" s="543"/>
      <c r="G6" s="543"/>
      <c r="H6" s="543"/>
      <c r="I6" s="544"/>
    </row>
    <row r="7" spans="2:9" ht="30" customHeight="1" x14ac:dyDescent="0.3">
      <c r="B7" s="542"/>
      <c r="C7" s="543"/>
      <c r="D7" s="543"/>
      <c r="E7" s="543"/>
      <c r="F7" s="543"/>
      <c r="G7" s="543"/>
      <c r="H7" s="543"/>
      <c r="I7" s="544"/>
    </row>
    <row r="8" spans="2:9" ht="30" customHeight="1" x14ac:dyDescent="0.3">
      <c r="B8" s="542"/>
      <c r="C8" s="543"/>
      <c r="D8" s="543"/>
      <c r="E8" s="543"/>
      <c r="F8" s="543"/>
      <c r="G8" s="543"/>
      <c r="H8" s="543"/>
      <c r="I8" s="544"/>
    </row>
    <row r="9" spans="2:9" ht="30" customHeight="1" x14ac:dyDescent="0.3">
      <c r="B9" s="542"/>
      <c r="C9" s="543"/>
      <c r="D9" s="543"/>
      <c r="E9" s="543"/>
      <c r="F9" s="543"/>
      <c r="G9" s="543"/>
      <c r="H9" s="543"/>
      <c r="I9" s="544"/>
    </row>
    <row r="10" spans="2:9" ht="30" customHeight="1" x14ac:dyDescent="0.3">
      <c r="B10" s="542"/>
      <c r="C10" s="543"/>
      <c r="D10" s="543"/>
      <c r="E10" s="543"/>
      <c r="F10" s="543"/>
      <c r="G10" s="543"/>
      <c r="H10" s="543"/>
      <c r="I10" s="544"/>
    </row>
    <row r="11" spans="2:9" ht="30" customHeight="1" thickBot="1" x14ac:dyDescent="0.35">
      <c r="B11" s="545"/>
      <c r="C11" s="546"/>
      <c r="D11" s="546"/>
      <c r="E11" s="546"/>
      <c r="F11" s="546"/>
      <c r="G11" s="546"/>
      <c r="H11" s="546"/>
      <c r="I11" s="547"/>
    </row>
  </sheetData>
  <mergeCells count="2">
    <mergeCell ref="B2:I3"/>
    <mergeCell ref="B4:I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B2" sqref="B2:I3"/>
    </sheetView>
  </sheetViews>
  <sheetFormatPr baseColWidth="10" defaultColWidth="11" defaultRowHeight="15.6" x14ac:dyDescent="0.3"/>
  <sheetData>
    <row r="1" spans="2:9" ht="16.2" thickBot="1" x14ac:dyDescent="0.35"/>
    <row r="2" spans="2:9" ht="19.95" customHeight="1" x14ac:dyDescent="0.3">
      <c r="B2" s="550" t="s">
        <v>156</v>
      </c>
      <c r="C2" s="551"/>
      <c r="D2" s="551"/>
      <c r="E2" s="551"/>
      <c r="F2" s="551"/>
      <c r="G2" s="551"/>
      <c r="H2" s="551"/>
      <c r="I2" s="552"/>
    </row>
    <row r="3" spans="2:9" ht="19.95" customHeight="1" thickBot="1" x14ac:dyDescent="0.35">
      <c r="B3" s="556"/>
      <c r="C3" s="557"/>
      <c r="D3" s="557"/>
      <c r="E3" s="557"/>
      <c r="F3" s="557"/>
      <c r="G3" s="557"/>
      <c r="H3" s="557"/>
      <c r="I3" s="558"/>
    </row>
    <row r="4" spans="2:9" ht="16.2" thickBot="1" x14ac:dyDescent="0.35"/>
    <row r="5" spans="2:9" ht="31.95" customHeight="1" thickBot="1" x14ac:dyDescent="0.35">
      <c r="C5" s="559" t="s">
        <v>157</v>
      </c>
      <c r="D5" s="560"/>
      <c r="E5" s="560"/>
      <c r="F5" s="560"/>
      <c r="G5" s="560"/>
      <c r="H5" s="561"/>
    </row>
    <row r="6" spans="2:9" ht="16.2" thickBot="1" x14ac:dyDescent="0.35"/>
    <row r="7" spans="2:9" ht="31.2" customHeight="1" thickBot="1" x14ac:dyDescent="0.35">
      <c r="C7" s="562" t="s">
        <v>158</v>
      </c>
      <c r="D7" s="560"/>
      <c r="E7" s="560"/>
      <c r="F7" s="560"/>
      <c r="G7" s="560"/>
      <c r="H7" s="561"/>
    </row>
    <row r="8" spans="2:9" ht="16.2" thickBot="1" x14ac:dyDescent="0.35"/>
    <row r="9" spans="2:9" ht="31.2" customHeight="1" thickBot="1" x14ac:dyDescent="0.35">
      <c r="C9" s="559" t="s">
        <v>159</v>
      </c>
      <c r="D9" s="560"/>
      <c r="E9" s="560"/>
      <c r="F9" s="560"/>
      <c r="G9" s="560"/>
      <c r="H9" s="561"/>
    </row>
    <row r="10" spans="2:9" ht="16.2" thickBot="1" x14ac:dyDescent="0.35"/>
    <row r="11" spans="2:9" ht="31.95" customHeight="1" thickBot="1" x14ac:dyDescent="0.35">
      <c r="C11" s="559" t="s">
        <v>160</v>
      </c>
      <c r="D11" s="560"/>
      <c r="E11" s="560"/>
      <c r="F11" s="560"/>
      <c r="G11" s="560"/>
      <c r="H11" s="561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C27" sqref="C27"/>
    </sheetView>
  </sheetViews>
  <sheetFormatPr baseColWidth="10" defaultColWidth="10.19921875" defaultRowHeight="14.4" x14ac:dyDescent="0.3"/>
  <cols>
    <col min="1" max="1" width="10.19921875" style="20"/>
    <col min="2" max="3" width="11.69921875" style="20" bestFit="1" customWidth="1"/>
    <col min="4" max="4" width="10.19921875" style="20"/>
    <col min="5" max="5" width="28.19921875" style="20" customWidth="1"/>
    <col min="6" max="6" width="21.69921875" style="20" customWidth="1"/>
    <col min="7" max="7" width="2.19921875" style="20" customWidth="1"/>
    <col min="8" max="8" width="28.19921875" style="20" customWidth="1"/>
    <col min="9" max="9" width="14.19921875" style="20" bestFit="1" customWidth="1"/>
    <col min="10" max="10" width="11.69921875" style="20" bestFit="1" customWidth="1"/>
    <col min="11" max="14" width="10.19921875" style="20"/>
    <col min="15" max="15" width="24.19921875" style="20" customWidth="1"/>
    <col min="16" max="16384" width="10.19921875" style="20"/>
  </cols>
  <sheetData>
    <row r="1" spans="1:15" ht="15" thickBot="1" x14ac:dyDescent="0.35">
      <c r="A1" s="576" t="s">
        <v>162</v>
      </c>
      <c r="B1" s="577"/>
      <c r="C1" s="577"/>
      <c r="D1" s="577"/>
      <c r="E1" s="577"/>
      <c r="F1" s="577"/>
      <c r="G1" s="577"/>
      <c r="H1" s="577"/>
      <c r="I1" s="577"/>
      <c r="J1" s="578"/>
    </row>
    <row r="2" spans="1:15" ht="16.2" customHeight="1" thickBot="1" x14ac:dyDescent="0.35">
      <c r="A2" s="567"/>
      <c r="B2" s="568"/>
      <c r="C2" s="568"/>
      <c r="D2" s="568"/>
      <c r="E2" s="568"/>
      <c r="F2" s="568"/>
      <c r="G2" s="568"/>
      <c r="H2" s="582"/>
      <c r="I2" s="582"/>
      <c r="J2" s="587"/>
    </row>
    <row r="3" spans="1:15" ht="15.45" customHeight="1" thickBot="1" x14ac:dyDescent="0.35">
      <c r="A3" s="574"/>
      <c r="B3" s="563" t="s">
        <v>163</v>
      </c>
      <c r="C3" s="579"/>
      <c r="D3" s="579"/>
      <c r="E3" s="579"/>
      <c r="F3" s="564"/>
      <c r="G3" s="569"/>
      <c r="H3" s="72" t="s">
        <v>164</v>
      </c>
      <c r="I3" s="70"/>
      <c r="J3" s="136">
        <f>IF('Etat Civil'!C11='Etat Civil'!G45,'Etat Civil'!H8-'Etat Civil'!E11,'Etat Civil'!H8-MIN('Etat Civil'!H8*0.1,12829))+IF('Etat Civil'!C17='Etat Civil'!G45,'Etat Civil'!H14-'Etat Civil'!E17,'Etat Civil'!H14-MIN('Etat Civil'!H14*0.1,12829))+IF(ISNUMBER('Etat Civil'!H22),('Etat Civil'!H22-MAX(400,MIN('Etat Civil'!H22*0.1,3912))),0)+'Etat Civil'!H10+'Etat Civil'!H16+'Etat Civil'!H20-'Etat Civil'!G33</f>
        <v>106685</v>
      </c>
    </row>
    <row r="4" spans="1:15" ht="15.45" customHeight="1" thickBot="1" x14ac:dyDescent="0.35">
      <c r="A4" s="574"/>
      <c r="B4" s="51"/>
      <c r="C4" s="52"/>
      <c r="D4" s="68"/>
      <c r="E4" s="52"/>
      <c r="F4" s="53"/>
      <c r="G4" s="569"/>
      <c r="H4" s="73" t="s">
        <v>165</v>
      </c>
      <c r="I4" s="71"/>
      <c r="J4" s="69">
        <f>'Impôt 2021 revenus 2020'!C10</f>
        <v>3</v>
      </c>
      <c r="M4" s="20">
        <v>0</v>
      </c>
      <c r="O4" s="20" t="s">
        <v>166</v>
      </c>
    </row>
    <row r="5" spans="1:15" ht="15.45" customHeight="1" x14ac:dyDescent="0.3">
      <c r="A5" s="574"/>
      <c r="B5" s="54">
        <v>0</v>
      </c>
      <c r="C5" s="55">
        <v>10225</v>
      </c>
      <c r="D5" s="60">
        <f>0</f>
        <v>0</v>
      </c>
      <c r="E5" s="55">
        <f>0</f>
        <v>0</v>
      </c>
      <c r="F5" s="56"/>
      <c r="G5" s="569"/>
      <c r="H5" s="568"/>
      <c r="I5" s="568"/>
      <c r="J5" s="573"/>
      <c r="M5" s="20">
        <v>1</v>
      </c>
      <c r="O5" s="20" t="s">
        <v>167</v>
      </c>
    </row>
    <row r="6" spans="1:15" ht="15.45" customHeight="1" x14ac:dyDescent="0.3">
      <c r="A6" s="574"/>
      <c r="B6" s="54">
        <v>10226</v>
      </c>
      <c r="C6" s="55">
        <v>26070</v>
      </c>
      <c r="D6" s="60">
        <v>0.11</v>
      </c>
      <c r="E6" s="55">
        <f>(C6-B6)*D6</f>
        <v>1742.84</v>
      </c>
      <c r="F6" s="56"/>
      <c r="G6" s="569"/>
      <c r="H6" s="569"/>
      <c r="I6" s="569"/>
      <c r="J6" s="570"/>
      <c r="M6" s="20">
        <v>2</v>
      </c>
      <c r="O6" s="20" t="s">
        <v>168</v>
      </c>
    </row>
    <row r="7" spans="1:15" ht="15.45" customHeight="1" x14ac:dyDescent="0.3">
      <c r="A7" s="574"/>
      <c r="B7" s="54">
        <v>26071</v>
      </c>
      <c r="C7" s="55">
        <v>74545</v>
      </c>
      <c r="D7" s="60">
        <f>0.3</f>
        <v>0.3</v>
      </c>
      <c r="E7" s="55">
        <f>(C7-B7)*D7</f>
        <v>14542.199999999999</v>
      </c>
      <c r="F7" s="56">
        <f>E7+E6</f>
        <v>16285.039999999999</v>
      </c>
      <c r="G7" s="569"/>
      <c r="H7" s="569"/>
      <c r="I7" s="569"/>
      <c r="J7" s="570"/>
      <c r="M7" s="20">
        <v>3</v>
      </c>
    </row>
    <row r="8" spans="1:15" ht="15.45" customHeight="1" thickBot="1" x14ac:dyDescent="0.35">
      <c r="A8" s="574"/>
      <c r="B8" s="54">
        <v>74546</v>
      </c>
      <c r="C8" s="55">
        <v>160336</v>
      </c>
      <c r="D8" s="60">
        <v>0.41</v>
      </c>
      <c r="E8" s="55">
        <f>(C8-B8)*D8</f>
        <v>35173.9</v>
      </c>
      <c r="F8" s="56">
        <f>SUM(E6:E8)</f>
        <v>51458.94</v>
      </c>
      <c r="G8" s="569"/>
      <c r="H8" s="569"/>
      <c r="I8" s="569"/>
      <c r="J8" s="570"/>
      <c r="M8" s="20">
        <v>4</v>
      </c>
    </row>
    <row r="9" spans="1:15" ht="15.45" customHeight="1" thickBot="1" x14ac:dyDescent="0.35">
      <c r="A9" s="574"/>
      <c r="B9" s="57"/>
      <c r="C9" s="58"/>
      <c r="D9" s="61">
        <f>0.45</f>
        <v>0.45</v>
      </c>
      <c r="E9" s="58"/>
      <c r="F9" s="59"/>
      <c r="G9" s="569"/>
      <c r="H9" s="563" t="s">
        <v>169</v>
      </c>
      <c r="I9" s="564"/>
      <c r="J9" s="50"/>
      <c r="M9" s="20">
        <v>5</v>
      </c>
    </row>
    <row r="10" spans="1:15" ht="15.45" customHeight="1" x14ac:dyDescent="0.3">
      <c r="A10" s="574"/>
      <c r="B10" s="568"/>
      <c r="C10" s="568"/>
      <c r="D10" s="568"/>
      <c r="E10" s="568"/>
      <c r="F10" s="568"/>
      <c r="G10" s="569"/>
      <c r="H10" s="78" t="s">
        <v>170</v>
      </c>
      <c r="I10" s="74">
        <f>IF(J3&gt;=C8, (J3-C8)*D9+E8+E7+E6, IF(J3&gt;=C7, (J3-C7)*D8+E7+E6, IF(J3&gt;=C6, (J3-C6)*D7+E6, IF(J3&gt;=C5, (J3-C5)*D6, 0))))</f>
        <v>29462.44</v>
      </c>
      <c r="J10" s="50"/>
      <c r="M10" s="20">
        <v>6</v>
      </c>
    </row>
    <row r="11" spans="1:15" ht="15.45" customHeight="1" x14ac:dyDescent="0.3">
      <c r="A11" s="574"/>
      <c r="B11" s="569"/>
      <c r="C11" s="569"/>
      <c r="D11" s="569"/>
      <c r="E11" s="569"/>
      <c r="F11" s="569"/>
      <c r="G11" s="569"/>
      <c r="H11" s="79" t="s">
        <v>171</v>
      </c>
      <c r="I11" s="75">
        <f>IF(J3&gt;=C28, (J3-C28)*D29+E28+E27+E26, IF(J3&gt;=C27, (J3-C27)*D28+E27+E26, IF(J3&gt;=C26, (J3-C26)*D27+E26, IF(J3&gt;=C25, (J3-C25)*D26, 0))))</f>
        <v>13771.02</v>
      </c>
      <c r="J11" s="50"/>
      <c r="M11" s="20">
        <v>7</v>
      </c>
    </row>
    <row r="12" spans="1:15" ht="15.45" customHeight="1" x14ac:dyDescent="0.3">
      <c r="A12" s="574"/>
      <c r="B12" s="569"/>
      <c r="C12" s="569"/>
      <c r="D12" s="569"/>
      <c r="E12" s="569"/>
      <c r="F12" s="569"/>
      <c r="G12" s="569"/>
      <c r="H12" s="79"/>
      <c r="I12" s="76"/>
      <c r="J12" s="50"/>
      <c r="M12" s="20">
        <v>8</v>
      </c>
    </row>
    <row r="13" spans="1:15" ht="15.45" customHeight="1" x14ac:dyDescent="0.3">
      <c r="A13" s="574"/>
      <c r="B13" s="569"/>
      <c r="C13" s="569"/>
      <c r="D13" s="569"/>
      <c r="E13" s="569"/>
      <c r="F13" s="569"/>
      <c r="G13" s="569"/>
      <c r="H13" s="79" t="s">
        <v>172</v>
      </c>
      <c r="I13" s="76">
        <f>IF('Impôt 2021 revenus 2020'!C5="Parent isolé (T)", 1,0)</f>
        <v>0</v>
      </c>
      <c r="J13" s="50"/>
      <c r="M13" s="20">
        <v>9</v>
      </c>
    </row>
    <row r="14" spans="1:15" ht="15.45" customHeight="1" x14ac:dyDescent="0.3">
      <c r="A14" s="574"/>
      <c r="B14" s="569"/>
      <c r="C14" s="569"/>
      <c r="D14" s="569"/>
      <c r="E14" s="569"/>
      <c r="F14" s="569"/>
      <c r="G14" s="569"/>
      <c r="H14" s="79" t="s">
        <v>173</v>
      </c>
      <c r="I14" s="76">
        <f>IF('Impôt 2021 revenus 2020'!C5="Enfant élevé seul (L)", 1, 0)</f>
        <v>0</v>
      </c>
      <c r="J14" s="50"/>
    </row>
    <row r="15" spans="1:15" ht="15.45" customHeight="1" thickBot="1" x14ac:dyDescent="0.35">
      <c r="A15" s="575"/>
      <c r="B15" s="571"/>
      <c r="C15" s="571"/>
      <c r="D15" s="571"/>
      <c r="E15" s="571"/>
      <c r="F15" s="571"/>
      <c r="G15" s="569"/>
      <c r="H15" s="79" t="s">
        <v>174</v>
      </c>
      <c r="I15" s="76">
        <f>IF('Impôt 2021 revenus 2020'!C5="Invalidité", 1,0)</f>
        <v>0</v>
      </c>
      <c r="J15" s="50"/>
    </row>
    <row r="16" spans="1:15" ht="16.2" customHeight="1" thickBot="1" x14ac:dyDescent="0.35">
      <c r="A16" s="584" t="s">
        <v>175</v>
      </c>
      <c r="B16" s="585"/>
      <c r="C16" s="585"/>
      <c r="D16" s="585"/>
      <c r="E16" s="585"/>
      <c r="F16" s="586"/>
      <c r="G16" s="569"/>
      <c r="H16" s="79" t="s">
        <v>176</v>
      </c>
      <c r="I16" s="76">
        <f>IF('Impôt 2021 revenus 2020'!C5=0, (J4-1)*2, (J4-1)*2-1)</f>
        <v>4</v>
      </c>
      <c r="J16" s="50"/>
    </row>
    <row r="17" spans="1:17" ht="15.45" customHeight="1" x14ac:dyDescent="0.3">
      <c r="A17" s="94">
        <v>1592</v>
      </c>
      <c r="B17" s="43" t="s">
        <v>177</v>
      </c>
      <c r="C17" s="43"/>
      <c r="D17" s="43"/>
      <c r="E17" s="43"/>
      <c r="F17" s="44"/>
      <c r="G17" s="569"/>
      <c r="H17" s="79" t="s">
        <v>178</v>
      </c>
      <c r="I17" s="75">
        <f>I10-A17*I16-I13*A19-I14*A18-I15*A20</f>
        <v>23094.44</v>
      </c>
      <c r="J17" s="50"/>
      <c r="O17" s="20" t="s">
        <v>179</v>
      </c>
      <c r="P17" s="20">
        <v>0</v>
      </c>
      <c r="Q17" s="20">
        <v>1</v>
      </c>
    </row>
    <row r="18" spans="1:17" ht="15.45" customHeight="1" x14ac:dyDescent="0.3">
      <c r="A18" s="95">
        <v>936</v>
      </c>
      <c r="B18" s="45" t="s">
        <v>180</v>
      </c>
      <c r="C18" s="45"/>
      <c r="D18" s="45"/>
      <c r="E18" s="45"/>
      <c r="F18" s="46"/>
      <c r="G18" s="569"/>
      <c r="H18" s="79"/>
      <c r="I18" s="76"/>
      <c r="J18" s="50"/>
      <c r="P18" s="20">
        <v>1</v>
      </c>
      <c r="Q18" s="20">
        <v>1.5</v>
      </c>
    </row>
    <row r="19" spans="1:17" ht="15.45" customHeight="1" x14ac:dyDescent="0.3">
      <c r="A19" s="95">
        <f>3697-1567</f>
        <v>2130</v>
      </c>
      <c r="B19" s="45" t="s">
        <v>181</v>
      </c>
      <c r="C19" s="45"/>
      <c r="D19" s="45"/>
      <c r="E19" s="45"/>
      <c r="F19" s="46"/>
      <c r="G19" s="569"/>
      <c r="H19" s="79"/>
      <c r="I19" s="76"/>
      <c r="J19" s="50"/>
      <c r="P19" s="20">
        <v>2</v>
      </c>
      <c r="Q19" s="20">
        <v>2</v>
      </c>
    </row>
    <row r="20" spans="1:17" ht="15.45" customHeight="1" x14ac:dyDescent="0.3">
      <c r="A20" s="95">
        <v>3129</v>
      </c>
      <c r="B20" s="45" t="s">
        <v>182</v>
      </c>
      <c r="C20" s="45"/>
      <c r="D20" s="45"/>
      <c r="E20" s="45"/>
      <c r="F20" s="46"/>
      <c r="G20" s="569"/>
      <c r="H20" s="79" t="s">
        <v>183</v>
      </c>
      <c r="I20" s="75">
        <f>IF(I11&gt;I17, I11, I17)</f>
        <v>23094.44</v>
      </c>
      <c r="J20" s="50"/>
      <c r="P20" s="20">
        <v>3</v>
      </c>
      <c r="Q20" s="20">
        <v>3</v>
      </c>
    </row>
    <row r="21" spans="1:17" ht="16.2" customHeight="1" thickBot="1" x14ac:dyDescent="0.35">
      <c r="A21" s="47"/>
      <c r="B21" s="48" t="s">
        <v>184</v>
      </c>
      <c r="C21" s="48"/>
      <c r="D21" s="48"/>
      <c r="E21" s="48"/>
      <c r="F21" s="49"/>
      <c r="G21" s="569"/>
      <c r="H21" s="79" t="s">
        <v>185</v>
      </c>
      <c r="I21" s="76">
        <f>IF(I20&lt;=1717, (777-I20*0.4525), 0)</f>
        <v>0</v>
      </c>
      <c r="J21" s="50"/>
      <c r="P21" s="20">
        <v>4</v>
      </c>
      <c r="Q21" s="20">
        <v>4</v>
      </c>
    </row>
    <row r="22" spans="1:17" ht="16.2" customHeight="1" thickBot="1" x14ac:dyDescent="0.35">
      <c r="A22" s="567"/>
      <c r="B22" s="568"/>
      <c r="C22" s="568"/>
      <c r="D22" s="568"/>
      <c r="E22" s="568"/>
      <c r="F22" s="568"/>
      <c r="G22" s="569"/>
      <c r="H22" s="80" t="s">
        <v>186</v>
      </c>
      <c r="I22" s="77">
        <f>IF(I21&gt;I20, 0, I20-I21)</f>
        <v>23094.44</v>
      </c>
      <c r="J22" s="50"/>
      <c r="P22" s="20">
        <v>5</v>
      </c>
      <c r="Q22" s="20">
        <v>5</v>
      </c>
    </row>
    <row r="23" spans="1:17" ht="16.2" customHeight="1" thickBot="1" x14ac:dyDescent="0.35">
      <c r="A23" s="565"/>
      <c r="B23" s="563" t="s">
        <v>187</v>
      </c>
      <c r="C23" s="579"/>
      <c r="D23" s="579"/>
      <c r="E23" s="579"/>
      <c r="F23" s="564"/>
      <c r="G23" s="569"/>
      <c r="H23" s="569"/>
      <c r="I23" s="569"/>
      <c r="J23" s="570"/>
      <c r="P23" s="20">
        <v>6</v>
      </c>
      <c r="Q23" s="20">
        <v>6</v>
      </c>
    </row>
    <row r="24" spans="1:17" ht="15.45" customHeight="1" x14ac:dyDescent="0.3">
      <c r="A24" s="565"/>
      <c r="B24" s="51"/>
      <c r="C24" s="52"/>
      <c r="D24" s="52"/>
      <c r="E24" s="52"/>
      <c r="F24" s="53"/>
      <c r="G24" s="569"/>
      <c r="H24" s="569"/>
      <c r="I24" s="569"/>
      <c r="J24" s="570"/>
      <c r="P24" s="20">
        <v>7</v>
      </c>
      <c r="Q24" s="20">
        <v>7</v>
      </c>
    </row>
    <row r="25" spans="1:17" ht="15.45" customHeight="1" x14ac:dyDescent="0.3">
      <c r="A25" s="565"/>
      <c r="B25" s="54">
        <v>0</v>
      </c>
      <c r="C25" s="55">
        <f>C5*$J$4</f>
        <v>30675</v>
      </c>
      <c r="D25" s="60">
        <f>0</f>
        <v>0</v>
      </c>
      <c r="E25" s="55">
        <f>0</f>
        <v>0</v>
      </c>
      <c r="F25" s="56"/>
      <c r="G25" s="569"/>
      <c r="H25" s="569"/>
      <c r="I25" s="569"/>
      <c r="J25" s="570"/>
      <c r="P25" s="20">
        <v>8</v>
      </c>
      <c r="Q25" s="20">
        <v>8</v>
      </c>
    </row>
    <row r="26" spans="1:17" ht="15.45" customHeight="1" x14ac:dyDescent="0.3">
      <c r="A26" s="565"/>
      <c r="B26" s="54">
        <f>B6*$J$4</f>
        <v>30678</v>
      </c>
      <c r="C26" s="55">
        <f>C6*$J$4</f>
        <v>78210</v>
      </c>
      <c r="D26" s="60">
        <v>0.11</v>
      </c>
      <c r="E26" s="55">
        <f>(C26-B26)*D26</f>
        <v>5228.5200000000004</v>
      </c>
      <c r="F26" s="56"/>
      <c r="G26" s="569"/>
      <c r="H26" s="569"/>
      <c r="I26" s="569"/>
      <c r="J26" s="570"/>
    </row>
    <row r="27" spans="1:17" ht="15.45" customHeight="1" x14ac:dyDescent="0.3">
      <c r="A27" s="565"/>
      <c r="B27" s="54">
        <f>B7*$J$4</f>
        <v>78213</v>
      </c>
      <c r="C27" s="55">
        <f>C7*$J$4</f>
        <v>223635</v>
      </c>
      <c r="D27" s="60">
        <f>0.3</f>
        <v>0.3</v>
      </c>
      <c r="E27" s="55">
        <f>(C27-B27)*D27</f>
        <v>43626.6</v>
      </c>
      <c r="F27" s="56">
        <f>E27+E26</f>
        <v>48855.119999999995</v>
      </c>
      <c r="G27" s="569"/>
      <c r="H27" s="569"/>
      <c r="I27" s="569"/>
      <c r="J27" s="570"/>
      <c r="O27" s="20" t="s">
        <v>188</v>
      </c>
      <c r="P27" s="20">
        <v>0</v>
      </c>
      <c r="Q27" s="20">
        <v>2</v>
      </c>
    </row>
    <row r="28" spans="1:17" ht="15.45" customHeight="1" x14ac:dyDescent="0.3">
      <c r="A28" s="565"/>
      <c r="B28" s="54">
        <f>B8*$J$4</f>
        <v>223638</v>
      </c>
      <c r="C28" s="55">
        <f>C8*$J$4</f>
        <v>481008</v>
      </c>
      <c r="D28" s="60">
        <v>0.41</v>
      </c>
      <c r="E28" s="55">
        <f>(C28-B28)*D28</f>
        <v>105521.7</v>
      </c>
      <c r="F28" s="56">
        <f>SUM(E26:E28)</f>
        <v>154376.82</v>
      </c>
      <c r="G28" s="569"/>
      <c r="H28" s="569"/>
      <c r="I28" s="569"/>
      <c r="J28" s="570"/>
      <c r="P28" s="20">
        <v>1</v>
      </c>
      <c r="Q28" s="20">
        <v>2.5</v>
      </c>
    </row>
    <row r="29" spans="1:17" ht="16.2" customHeight="1" thickBot="1" x14ac:dyDescent="0.35">
      <c r="A29" s="566"/>
      <c r="B29" s="57"/>
      <c r="C29" s="58"/>
      <c r="D29" s="61">
        <f>0.45</f>
        <v>0.45</v>
      </c>
      <c r="E29" s="58"/>
      <c r="F29" s="59"/>
      <c r="G29" s="571"/>
      <c r="H29" s="571"/>
      <c r="I29" s="571"/>
      <c r="J29" s="572"/>
      <c r="P29" s="20">
        <v>2</v>
      </c>
      <c r="Q29" s="20">
        <v>3</v>
      </c>
    </row>
    <row r="30" spans="1:17" ht="15" thickBot="1" x14ac:dyDescent="0.35">
      <c r="A30" s="582"/>
      <c r="B30" s="582"/>
      <c r="C30" s="582"/>
      <c r="D30" s="582"/>
      <c r="E30" s="582"/>
      <c r="F30" s="582"/>
      <c r="G30" s="582"/>
      <c r="H30" s="582"/>
      <c r="I30" s="582"/>
      <c r="J30" s="582"/>
      <c r="P30" s="20">
        <v>3</v>
      </c>
      <c r="Q30" s="20">
        <v>4</v>
      </c>
    </row>
    <row r="31" spans="1:17" ht="15" thickBot="1" x14ac:dyDescent="0.35">
      <c r="A31" s="576" t="s">
        <v>189</v>
      </c>
      <c r="B31" s="580"/>
      <c r="C31" s="580"/>
      <c r="D31" s="580"/>
      <c r="E31" s="580"/>
      <c r="F31" s="580"/>
      <c r="G31" s="577"/>
      <c r="H31" s="577"/>
      <c r="I31" s="577"/>
      <c r="J31" s="578"/>
      <c r="P31" s="20">
        <v>4</v>
      </c>
      <c r="Q31" s="20">
        <v>5</v>
      </c>
    </row>
    <row r="32" spans="1:17" ht="16.2" customHeight="1" thickBot="1" x14ac:dyDescent="0.35">
      <c r="A32" s="567"/>
      <c r="B32" s="563"/>
      <c r="C32" s="579"/>
      <c r="D32" s="581"/>
      <c r="E32" s="62" t="s">
        <v>190</v>
      </c>
      <c r="F32" s="63" t="s">
        <v>191</v>
      </c>
      <c r="G32" s="583"/>
      <c r="H32" s="563" t="s">
        <v>169</v>
      </c>
      <c r="I32" s="564"/>
      <c r="J32" s="573"/>
      <c r="P32" s="20">
        <v>5</v>
      </c>
      <c r="Q32" s="20">
        <v>6</v>
      </c>
    </row>
    <row r="33" spans="1:19" ht="15.45" customHeight="1" x14ac:dyDescent="0.3">
      <c r="A33" s="574"/>
      <c r="B33" s="64">
        <f>B5*2</f>
        <v>0</v>
      </c>
      <c r="C33" s="65">
        <f>C5*2</f>
        <v>20450</v>
      </c>
      <c r="D33" s="67">
        <v>0</v>
      </c>
      <c r="E33" s="65">
        <v>0</v>
      </c>
      <c r="F33" s="66"/>
      <c r="G33" s="565"/>
      <c r="H33" s="81" t="s">
        <v>192</v>
      </c>
      <c r="I33" s="84">
        <f>IF(J3&gt;=C37, (J3-C37)*D38+E37+E36+E34, IF(J3&gt;=C36, (J3-C36)*D37+E36+E34, IF(J3&gt;=C34, (J3-C34)*D36+E34, IF(J3&gt;=C33, (J3-C33)*D34, 0))))</f>
        <v>19849.18</v>
      </c>
      <c r="J33" s="570"/>
      <c r="P33" s="20">
        <v>6</v>
      </c>
      <c r="Q33" s="20">
        <v>7</v>
      </c>
    </row>
    <row r="34" spans="1:19" ht="15.45" customHeight="1" x14ac:dyDescent="0.3">
      <c r="A34" s="574"/>
      <c r="B34" s="54">
        <f t="shared" ref="B34:C34" si="0">B6*2</f>
        <v>20452</v>
      </c>
      <c r="C34" s="55">
        <f t="shared" si="0"/>
        <v>52140</v>
      </c>
      <c r="D34" s="60">
        <v>0.11</v>
      </c>
      <c r="E34" s="55">
        <f>(C34-B34)*D34</f>
        <v>3485.68</v>
      </c>
      <c r="F34" s="56"/>
      <c r="G34" s="565"/>
      <c r="H34" s="82" t="s">
        <v>171</v>
      </c>
      <c r="I34" s="85">
        <f>IF(J3&gt;=C28, (J3-C28)*D29+E28+E27+E26, IF(J3&gt;=C27, (J3-C27)*D28+E27+E26, IF(J3&gt;=C26, (J3-C26)*D27+E26, IF(J3&gt;=C25, (J3-C25)*D26, 0))))</f>
        <v>13771.02</v>
      </c>
      <c r="J34" s="570"/>
      <c r="P34" s="20">
        <v>7</v>
      </c>
      <c r="Q34" s="20">
        <v>8</v>
      </c>
    </row>
    <row r="35" spans="1:19" ht="15.45" customHeight="1" x14ac:dyDescent="0.3">
      <c r="A35" s="574"/>
      <c r="B35" s="54"/>
      <c r="C35" s="55"/>
      <c r="D35" s="60"/>
      <c r="E35" s="55"/>
      <c r="F35" s="56"/>
      <c r="G35" s="565"/>
      <c r="H35" s="82" t="s">
        <v>193</v>
      </c>
      <c r="I35" s="86">
        <f>IF('Impôt 2021 revenus 2020'!C5="Invalidité", 1,0)</f>
        <v>0</v>
      </c>
      <c r="J35" s="570"/>
      <c r="P35" s="20">
        <v>8</v>
      </c>
      <c r="Q35" s="20">
        <v>9</v>
      </c>
    </row>
    <row r="36" spans="1:19" ht="15.45" customHeight="1" x14ac:dyDescent="0.3">
      <c r="A36" s="574"/>
      <c r="B36" s="54">
        <f>B7*2</f>
        <v>52142</v>
      </c>
      <c r="C36" s="55">
        <f>C7*2</f>
        <v>149090</v>
      </c>
      <c r="D36" s="60">
        <v>0.3</v>
      </c>
      <c r="E36" s="55">
        <f>(C36-B36)*D36</f>
        <v>29084.399999999998</v>
      </c>
      <c r="F36" s="56">
        <f>E34+E36</f>
        <v>32570.079999999998</v>
      </c>
      <c r="G36" s="565"/>
      <c r="H36" s="82" t="s">
        <v>194</v>
      </c>
      <c r="I36" s="86">
        <f>MAX(0,IF('Impôt 2021 revenus 2020'!C5=0, (J4-2)*2, (J4-2)*2-1))</f>
        <v>2</v>
      </c>
      <c r="J36" s="570"/>
      <c r="O36" s="20">
        <f>IF(OR('Impôt 2021 revenus 2020'!C3="Célibataire",'Impôt 2021 revenus 2020'!C3="Concubinage",'Impôt 2021 revenus 2020'!C3="Divorcé",'Impôt 2021 revenus 2020'!C3="Veuf"), VLOOKUP('Impôt 2021 revenus 2020'!C4,P17:Q25, 2, FALSE) - IF('Etat Civil'!C22="Alternée",IF('Etat Civil'!C35=1,0.25,IF('Etat Civil'!C35=2,0.5,IF('Etat Civil'!C35=3,1,IF('Etat Civil'!C35=4,1.5,2)))),0), VLOOKUP('Impôt 2021 revenus 2020'!C4,P27:Q35, 2, FALSE))</f>
        <v>3</v>
      </c>
    </row>
    <row r="37" spans="1:19" ht="15.45" customHeight="1" x14ac:dyDescent="0.3">
      <c r="A37" s="574"/>
      <c r="B37" s="54">
        <f>B8*2</f>
        <v>149092</v>
      </c>
      <c r="C37" s="55">
        <f>C8*2</f>
        <v>320672</v>
      </c>
      <c r="D37" s="60">
        <v>0.41</v>
      </c>
      <c r="E37" s="55">
        <f>(C37-B37)*D37</f>
        <v>70347.8</v>
      </c>
      <c r="F37" s="56">
        <f>E34+E36+E37</f>
        <v>102917.88</v>
      </c>
      <c r="G37" s="565"/>
      <c r="H37" s="82" t="s">
        <v>178</v>
      </c>
      <c r="I37" s="85">
        <f>I33-A17*I36-I35*A20</f>
        <v>16665.18</v>
      </c>
      <c r="J37" s="570"/>
    </row>
    <row r="38" spans="1:19" ht="16.2" customHeight="1" thickBot="1" x14ac:dyDescent="0.35">
      <c r="A38" s="574"/>
      <c r="B38" s="57"/>
      <c r="C38" s="58"/>
      <c r="D38" s="61">
        <v>0.45</v>
      </c>
      <c r="E38" s="58"/>
      <c r="F38" s="59"/>
      <c r="G38" s="565"/>
      <c r="H38" s="82"/>
      <c r="I38" s="86"/>
      <c r="J38" s="570"/>
    </row>
    <row r="39" spans="1:19" ht="15.45" customHeight="1" x14ac:dyDescent="0.3">
      <c r="A39" s="574"/>
      <c r="B39" s="569"/>
      <c r="C39" s="569"/>
      <c r="D39" s="569"/>
      <c r="E39" s="569"/>
      <c r="F39" s="569"/>
      <c r="G39" s="569"/>
      <c r="H39" s="82" t="s">
        <v>183</v>
      </c>
      <c r="I39" s="85">
        <f>IF(I34&gt;I37, I34, I37)</f>
        <v>16665.18</v>
      </c>
      <c r="J39" s="570"/>
    </row>
    <row r="40" spans="1:19" ht="15.45" customHeight="1" x14ac:dyDescent="0.3">
      <c r="A40" s="574"/>
      <c r="B40" s="569"/>
      <c r="C40" s="569"/>
      <c r="D40" s="569"/>
      <c r="E40" s="569"/>
      <c r="F40" s="569"/>
      <c r="G40" s="569"/>
      <c r="H40" s="82" t="s">
        <v>185</v>
      </c>
      <c r="I40" s="87">
        <f>IF(I39&lt;=2842, 1286-I39*0.4525, 0)</f>
        <v>0</v>
      </c>
      <c r="J40" s="570"/>
      <c r="O40" s="20">
        <f>1196*1.01</f>
        <v>1207.96</v>
      </c>
    </row>
    <row r="41" spans="1:19" ht="16.2" customHeight="1" thickBot="1" x14ac:dyDescent="0.35">
      <c r="A41" s="574"/>
      <c r="B41" s="569"/>
      <c r="C41" s="569"/>
      <c r="D41" s="569"/>
      <c r="E41" s="569"/>
      <c r="F41" s="569"/>
      <c r="G41" s="569"/>
      <c r="H41" s="83" t="s">
        <v>186</v>
      </c>
      <c r="I41" s="88">
        <f>IF(I40&gt;I39, 0, I39-I40)</f>
        <v>16665.18</v>
      </c>
      <c r="J41" s="570"/>
      <c r="O41" s="20">
        <f>1970*(1+O42)</f>
        <v>1989.7</v>
      </c>
      <c r="R41" s="20">
        <f>1208-0.75*1000</f>
        <v>458</v>
      </c>
      <c r="S41" s="20">
        <v>1611</v>
      </c>
    </row>
    <row r="42" spans="1:19" ht="16.2" customHeight="1" thickBot="1" x14ac:dyDescent="0.35">
      <c r="A42" s="575"/>
      <c r="B42" s="571"/>
      <c r="C42" s="571"/>
      <c r="D42" s="571"/>
      <c r="E42" s="571"/>
      <c r="F42" s="571"/>
      <c r="G42" s="571"/>
      <c r="H42" s="582"/>
      <c r="I42" s="582"/>
      <c r="J42" s="572"/>
      <c r="O42" s="20">
        <v>0.01</v>
      </c>
      <c r="S42" s="20">
        <v>2653</v>
      </c>
    </row>
  </sheetData>
  <sheetProtection algorithmName="SHA-512" hashValue="A+wNetsvf1tO//jBZrTILuaLgClivLcu8/crf7bbLXtGqP4yYFqfZa3M+4O/fU42ljobBoO2tVrZKxpKyCmmFw==" saltValue="gVxl47s3ccij2z78kDSSCw==" spinCount="100000" sheet="1" objects="1" scenarios="1" selectLockedCells="1" selectUnlockedCells="1"/>
  <mergeCells count="23"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  <mergeCell ref="H9:I9"/>
    <mergeCell ref="A23:A29"/>
    <mergeCell ref="A22:F22"/>
    <mergeCell ref="H23:J29"/>
    <mergeCell ref="H5:J8"/>
    <mergeCell ref="B10:F15"/>
    <mergeCell ref="A3:A1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3" sqref="C3"/>
    </sheetView>
  </sheetViews>
  <sheetFormatPr baseColWidth="10" defaultColWidth="10.19921875" defaultRowHeight="14.4" x14ac:dyDescent="0.3"/>
  <cols>
    <col min="1" max="1" width="10.19921875" style="21"/>
    <col min="2" max="2" width="20.19921875" style="21" customWidth="1"/>
    <col min="3" max="3" width="26.19921875" style="21" customWidth="1"/>
    <col min="4" max="4" width="18.19921875" style="21" customWidth="1"/>
    <col min="5" max="16384" width="10.19921875" style="21"/>
  </cols>
  <sheetData>
    <row r="1" spans="1:29" ht="28.8" x14ac:dyDescent="0.55000000000000004">
      <c r="A1" s="588" t="s">
        <v>195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90"/>
      <c r="O1" s="591" t="s">
        <v>196</v>
      </c>
      <c r="P1" s="592"/>
      <c r="Q1" s="592"/>
      <c r="R1" s="592"/>
      <c r="S1" s="592"/>
      <c r="T1" s="592"/>
      <c r="U1" s="592"/>
      <c r="V1" s="592"/>
      <c r="W1" s="592"/>
      <c r="X1" s="592"/>
      <c r="Y1" s="592"/>
      <c r="Z1" s="592"/>
      <c r="AA1" s="592"/>
      <c r="AB1" s="592"/>
      <c r="AC1" s="592"/>
    </row>
    <row r="2" spans="1:29" ht="15.6" x14ac:dyDescent="0.3">
      <c r="A2" s="22"/>
      <c r="K2" s="594" t="s">
        <v>197</v>
      </c>
      <c r="L2" s="594"/>
      <c r="M2" s="594"/>
      <c r="N2" s="595"/>
      <c r="O2" s="593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</row>
    <row r="3" spans="1:29" ht="28.5" customHeight="1" x14ac:dyDescent="0.3">
      <c r="A3" s="23" t="s">
        <v>198</v>
      </c>
      <c r="B3" s="24"/>
      <c r="C3" s="25" t="str">
        <f>'Etat Civil'!C19</f>
        <v>Marié</v>
      </c>
      <c r="N3" s="26"/>
      <c r="O3" s="593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</row>
    <row r="4" spans="1:29" ht="28.5" customHeight="1" x14ac:dyDescent="0.3">
      <c r="A4" s="23" t="s">
        <v>199</v>
      </c>
      <c r="B4" s="24"/>
      <c r="C4" s="25">
        <f>'Etat Civil'!C35</f>
        <v>2</v>
      </c>
      <c r="N4" s="26"/>
      <c r="O4" s="593"/>
      <c r="P4" s="592"/>
      <c r="Q4" s="592"/>
      <c r="R4" s="592"/>
      <c r="S4" s="592"/>
      <c r="T4" s="592"/>
      <c r="U4" s="592"/>
      <c r="V4" s="592"/>
      <c r="W4" s="592"/>
      <c r="X4" s="592"/>
      <c r="Y4" s="592"/>
      <c r="Z4" s="592"/>
      <c r="AA4" s="592"/>
      <c r="AB4" s="592"/>
      <c r="AC4" s="592"/>
    </row>
    <row r="5" spans="1:29" ht="28.5" customHeight="1" x14ac:dyDescent="0.3">
      <c r="A5" s="23" t="s">
        <v>28</v>
      </c>
      <c r="B5" s="24"/>
      <c r="C5" s="27">
        <f>'Etat Civil'!C21</f>
        <v>0</v>
      </c>
      <c r="D5" s="543" t="s">
        <v>200</v>
      </c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93"/>
      <c r="P5" s="592"/>
      <c r="Q5" s="592"/>
      <c r="R5" s="592"/>
      <c r="S5" s="592"/>
      <c r="T5" s="592"/>
      <c r="U5" s="592"/>
      <c r="V5" s="592"/>
      <c r="W5" s="592"/>
      <c r="X5" s="592"/>
      <c r="Y5" s="592"/>
      <c r="Z5" s="592"/>
      <c r="AA5" s="592"/>
      <c r="AB5" s="592"/>
      <c r="AC5" s="592"/>
    </row>
    <row r="6" spans="1:29" ht="28.5" customHeight="1" x14ac:dyDescent="0.3">
      <c r="A6" s="23"/>
      <c r="B6" s="24"/>
      <c r="C6" s="28"/>
      <c r="N6" s="26"/>
      <c r="O6" s="593"/>
      <c r="P6" s="592"/>
      <c r="Q6" s="592"/>
      <c r="R6" s="592"/>
      <c r="S6" s="592"/>
      <c r="T6" s="592"/>
      <c r="U6" s="592"/>
      <c r="V6" s="592"/>
      <c r="W6" s="592"/>
      <c r="X6" s="592"/>
      <c r="Y6" s="592"/>
      <c r="Z6" s="592"/>
      <c r="AA6" s="592"/>
      <c r="AB6" s="592"/>
      <c r="AC6" s="592"/>
    </row>
    <row r="7" spans="1:29" ht="28.5" hidden="1" customHeight="1" x14ac:dyDescent="0.3">
      <c r="A7" s="23"/>
      <c r="B7" s="24"/>
      <c r="C7" s="28"/>
      <c r="N7" s="26"/>
      <c r="O7" s="593"/>
      <c r="P7" s="592"/>
      <c r="Q7" s="592"/>
      <c r="R7" s="592"/>
      <c r="S7" s="592"/>
      <c r="T7" s="592"/>
      <c r="U7" s="592"/>
      <c r="V7" s="592"/>
      <c r="W7" s="592"/>
      <c r="X7" s="592"/>
      <c r="Y7" s="592"/>
      <c r="Z7" s="592"/>
      <c r="AA7" s="592"/>
      <c r="AB7" s="592"/>
      <c r="AC7" s="592"/>
    </row>
    <row r="8" spans="1:29" ht="28.5" customHeight="1" x14ac:dyDescent="0.3">
      <c r="A8" s="23" t="s">
        <v>201</v>
      </c>
      <c r="B8" s="24"/>
      <c r="C8" s="135">
        <f>'Calcul IR 2'!J3</f>
        <v>106685</v>
      </c>
      <c r="D8" s="596" t="s">
        <v>202</v>
      </c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593"/>
      <c r="P8" s="592"/>
      <c r="Q8" s="592"/>
      <c r="R8" s="592"/>
      <c r="S8" s="592"/>
      <c r="T8" s="592"/>
      <c r="U8" s="592"/>
      <c r="V8" s="592"/>
      <c r="W8" s="592"/>
      <c r="X8" s="592"/>
      <c r="Y8" s="592"/>
      <c r="Z8" s="592"/>
      <c r="AA8" s="592"/>
      <c r="AB8" s="592"/>
      <c r="AC8" s="592"/>
    </row>
    <row r="9" spans="1:29" ht="28.5" customHeight="1" x14ac:dyDescent="0.3">
      <c r="A9" s="29"/>
      <c r="B9" s="24"/>
      <c r="C9" s="30"/>
      <c r="N9" s="26"/>
      <c r="O9" s="593"/>
      <c r="P9" s="592"/>
      <c r="Q9" s="592"/>
      <c r="R9" s="592"/>
      <c r="S9" s="592"/>
      <c r="T9" s="592"/>
      <c r="U9" s="592"/>
      <c r="V9" s="592"/>
      <c r="W9" s="592"/>
      <c r="X9" s="592"/>
      <c r="Y9" s="592"/>
      <c r="Z9" s="592"/>
      <c r="AA9" s="592"/>
      <c r="AB9" s="592"/>
      <c r="AC9" s="592"/>
    </row>
    <row r="10" spans="1:29" ht="28.5" customHeight="1" x14ac:dyDescent="0.3">
      <c r="A10" s="31" t="s">
        <v>203</v>
      </c>
      <c r="B10" s="32"/>
      <c r="C10" s="33">
        <f>IF(C5=0,'Calcul IR 2'!O36,'Calcul IR 2'!O36+0.5)</f>
        <v>3</v>
      </c>
      <c r="N10" s="26"/>
      <c r="O10" s="593"/>
      <c r="P10" s="592"/>
      <c r="Q10" s="592"/>
      <c r="R10" s="592"/>
      <c r="S10" s="592"/>
      <c r="T10" s="592"/>
      <c r="U10" s="592"/>
      <c r="V10" s="592"/>
      <c r="W10" s="592"/>
      <c r="X10" s="592"/>
      <c r="Y10" s="592"/>
      <c r="Z10" s="592"/>
      <c r="AA10" s="592"/>
      <c r="AB10" s="592"/>
      <c r="AC10" s="592"/>
    </row>
    <row r="11" spans="1:29" ht="28.5" customHeight="1" x14ac:dyDescent="0.3">
      <c r="A11" s="29"/>
      <c r="B11" s="24"/>
      <c r="C11" s="30"/>
      <c r="N11" s="26"/>
      <c r="O11" s="593"/>
      <c r="P11" s="592"/>
      <c r="Q11" s="592"/>
      <c r="R11" s="592"/>
      <c r="S11" s="592"/>
      <c r="T11" s="592"/>
      <c r="U11" s="592"/>
      <c r="V11" s="592"/>
      <c r="W11" s="592"/>
      <c r="X11" s="592"/>
      <c r="Y11" s="592"/>
      <c r="Z11" s="592"/>
      <c r="AA11" s="592"/>
      <c r="AB11" s="592"/>
      <c r="AC11" s="592"/>
    </row>
    <row r="12" spans="1:29" ht="28.5" customHeight="1" x14ac:dyDescent="0.3">
      <c r="A12" s="34" t="s">
        <v>204</v>
      </c>
      <c r="B12" s="35"/>
      <c r="C12" s="123">
        <f>IF(OR(C3="Célibataire",C3="Divorcé",C3="Veuf",C3="Concubinage"),'Calcul IR 2'!I20,'Calcul IR 2'!I39)</f>
        <v>16665.18</v>
      </c>
      <c r="N12" s="26"/>
      <c r="O12" s="593"/>
      <c r="P12" s="592"/>
      <c r="Q12" s="592"/>
      <c r="R12" s="592"/>
      <c r="S12" s="592"/>
      <c r="T12" s="592"/>
      <c r="U12" s="592"/>
      <c r="V12" s="592"/>
      <c r="W12" s="592"/>
      <c r="X12" s="592"/>
      <c r="Y12" s="592"/>
      <c r="Z12" s="592"/>
      <c r="AA12" s="592"/>
      <c r="AB12" s="592"/>
      <c r="AC12" s="592"/>
    </row>
    <row r="13" spans="1:29" ht="28.5" customHeight="1" x14ac:dyDescent="0.3">
      <c r="A13" s="34" t="s">
        <v>185</v>
      </c>
      <c r="B13" s="35"/>
      <c r="C13" s="42">
        <f>IF(OR(C3="Célibataire",C3="Divorcé",C3="Veuf",C3="Concubinage"),'Calcul IR 2'!I21, 'Calcul IR 2'!I40)</f>
        <v>0</v>
      </c>
      <c r="D13" s="597" t="s">
        <v>205</v>
      </c>
      <c r="E13" s="597"/>
      <c r="F13" s="597"/>
      <c r="G13" s="597"/>
      <c r="H13" s="597"/>
      <c r="I13" s="597"/>
      <c r="J13" s="597"/>
      <c r="K13" s="597"/>
      <c r="L13" s="597"/>
      <c r="M13" s="597"/>
      <c r="N13" s="598"/>
      <c r="O13" s="593"/>
      <c r="P13" s="592"/>
      <c r="Q13" s="592"/>
      <c r="R13" s="592"/>
      <c r="S13" s="592"/>
      <c r="T13" s="592"/>
      <c r="U13" s="592"/>
      <c r="V13" s="592"/>
      <c r="W13" s="592"/>
      <c r="X13" s="592"/>
      <c r="Y13" s="592"/>
      <c r="Z13" s="592"/>
      <c r="AA13" s="592"/>
      <c r="AB13" s="592"/>
      <c r="AC13" s="592"/>
    </row>
    <row r="14" spans="1:29" ht="34.5" customHeight="1" x14ac:dyDescent="0.3">
      <c r="A14" s="36" t="s">
        <v>41</v>
      </c>
      <c r="B14" s="37"/>
      <c r="C14" s="38">
        <f>IF(OR(C3="Célibataire",C3="Divorcé",C3="Veuf",C3="Concubinage"),'Calcul IR 2'!I22, 'Calcul IR 2'!I41)</f>
        <v>16665.18</v>
      </c>
      <c r="D14" s="122">
        <f>IF((C14-'Etat Civil'!G34)&lt;=0,0-'Etat Civil'!G35,C14-'Etat Civil'!G34-'Etat Civil'!G35)</f>
        <v>16665.18</v>
      </c>
      <c r="N14" s="26"/>
      <c r="O14" s="593"/>
      <c r="P14" s="592"/>
      <c r="Q14" s="592"/>
      <c r="R14" s="592"/>
      <c r="S14" s="592"/>
      <c r="T14" s="592"/>
      <c r="U14" s="592"/>
      <c r="V14" s="592"/>
      <c r="W14" s="592"/>
      <c r="X14" s="592"/>
      <c r="Y14" s="592"/>
      <c r="Z14" s="592"/>
      <c r="AA14" s="592"/>
      <c r="AB14" s="592"/>
      <c r="AC14" s="592"/>
    </row>
    <row r="15" spans="1:29" x14ac:dyDescent="0.3">
      <c r="A15" s="599" t="s">
        <v>206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601"/>
      <c r="O15" s="593"/>
      <c r="P15" s="592"/>
      <c r="Q15" s="592"/>
      <c r="R15" s="592"/>
      <c r="S15" s="592"/>
      <c r="T15" s="592"/>
      <c r="U15" s="592"/>
      <c r="V15" s="592"/>
      <c r="W15" s="592"/>
      <c r="X15" s="592"/>
      <c r="Y15" s="592"/>
      <c r="Z15" s="592"/>
      <c r="AA15" s="592"/>
      <c r="AB15" s="592"/>
      <c r="AC15" s="592"/>
    </row>
    <row r="16" spans="1:29" x14ac:dyDescent="0.3">
      <c r="A16" s="22"/>
      <c r="N16" s="26"/>
      <c r="O16" s="593"/>
      <c r="P16" s="592"/>
      <c r="Q16" s="592"/>
      <c r="R16" s="592"/>
      <c r="S16" s="592"/>
      <c r="T16" s="592"/>
      <c r="U16" s="592"/>
      <c r="V16" s="592"/>
      <c r="W16" s="592"/>
      <c r="X16" s="592"/>
      <c r="Y16" s="592"/>
      <c r="Z16" s="592"/>
      <c r="AA16" s="592"/>
      <c r="AB16" s="592"/>
      <c r="AC16" s="592"/>
    </row>
    <row r="17" spans="1:29" hidden="1" x14ac:dyDescent="0.3">
      <c r="A17" s="22"/>
      <c r="N17" s="26"/>
      <c r="O17" s="593"/>
      <c r="P17" s="592"/>
      <c r="Q17" s="592"/>
      <c r="R17" s="592"/>
      <c r="S17" s="592"/>
      <c r="T17" s="592"/>
      <c r="U17" s="592"/>
      <c r="V17" s="592"/>
      <c r="W17" s="592"/>
      <c r="X17" s="592"/>
      <c r="Y17" s="592"/>
      <c r="Z17" s="592"/>
      <c r="AA17" s="592"/>
      <c r="AB17" s="592"/>
      <c r="AC17" s="592"/>
    </row>
    <row r="18" spans="1:29" ht="15" hidden="1" customHeight="1" x14ac:dyDescent="0.3">
      <c r="A18" s="22"/>
      <c r="N18" s="26"/>
      <c r="O18" s="593"/>
      <c r="P18" s="592"/>
      <c r="Q18" s="592"/>
      <c r="R18" s="592"/>
      <c r="S18" s="592"/>
      <c r="T18" s="592"/>
      <c r="U18" s="592"/>
      <c r="V18" s="592"/>
      <c r="W18" s="592"/>
      <c r="X18" s="592"/>
      <c r="Y18" s="592"/>
      <c r="Z18" s="592"/>
      <c r="AA18" s="592"/>
      <c r="AB18" s="592"/>
      <c r="AC18" s="592"/>
    </row>
    <row r="19" spans="1:29" ht="15" thickBot="1" x14ac:dyDescent="0.3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593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592"/>
      <c r="AB19" s="592"/>
      <c r="AC19" s="592"/>
    </row>
  </sheetData>
  <sheetProtection algorithmName="SHA-512" hashValue="IHeyj+TJcOnKUTyQtIP7cRAmRjXPfmaO4cVo+aDUS3ynn3ttcE7f9NKaJASV0nQFGNGb1dX5P/BYWGQWKK6wuw==" saltValue="67qjARB3cTZE3/rYidXpy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32" sqref="A1:N42"/>
    </sheetView>
  </sheetViews>
  <sheetFormatPr baseColWidth="10" defaultColWidth="10.19921875" defaultRowHeight="14.4" x14ac:dyDescent="0.3"/>
  <cols>
    <col min="1" max="1" width="10.19921875" style="20"/>
    <col min="2" max="2" width="11.69921875" style="20" bestFit="1" customWidth="1"/>
    <col min="3" max="3" width="12" style="20" bestFit="1" customWidth="1"/>
    <col min="4" max="4" width="10.19921875" style="20"/>
    <col min="5" max="5" width="11" style="20" bestFit="1" customWidth="1"/>
    <col min="6" max="6" width="11.69921875" style="20" bestFit="1" customWidth="1"/>
    <col min="7" max="7" width="4.69921875" style="20" customWidth="1"/>
    <col min="8" max="8" width="26" style="20" customWidth="1"/>
    <col min="9" max="9" width="10.69921875" style="20" bestFit="1" customWidth="1"/>
    <col min="10" max="10" width="11.69921875" style="20" bestFit="1" customWidth="1"/>
    <col min="11" max="14" width="10.19921875" style="20"/>
    <col min="15" max="15" width="24.19921875" style="20" customWidth="1"/>
    <col min="16" max="16384" width="10.19921875" style="20"/>
  </cols>
  <sheetData>
    <row r="1" spans="1:15" ht="15" thickBot="1" x14ac:dyDescent="0.35">
      <c r="A1" s="576" t="s">
        <v>207</v>
      </c>
      <c r="B1" s="577"/>
      <c r="C1" s="577"/>
      <c r="D1" s="577"/>
      <c r="E1" s="577"/>
      <c r="F1" s="577"/>
      <c r="G1" s="577"/>
      <c r="H1" s="577"/>
      <c r="I1" s="577"/>
      <c r="J1" s="578"/>
    </row>
    <row r="2" spans="1:15" ht="15" thickBot="1" x14ac:dyDescent="0.35">
      <c r="A2" s="567"/>
      <c r="B2" s="568"/>
      <c r="C2" s="568"/>
      <c r="D2" s="568"/>
      <c r="E2" s="568"/>
      <c r="F2" s="568"/>
      <c r="G2" s="568"/>
      <c r="H2" s="582"/>
      <c r="I2" s="582"/>
      <c r="J2" s="587"/>
    </row>
    <row r="3" spans="1:15" ht="15" thickBot="1" x14ac:dyDescent="0.35">
      <c r="A3" s="574"/>
      <c r="B3" s="563" t="s">
        <v>208</v>
      </c>
      <c r="C3" s="579"/>
      <c r="D3" s="579"/>
      <c r="E3" s="579"/>
      <c r="F3" s="564"/>
      <c r="G3" s="569"/>
      <c r="H3" s="72" t="s">
        <v>164</v>
      </c>
      <c r="I3" s="70"/>
      <c r="J3" s="136">
        <f>(('Etat Civil'!H8*'Prévision retraite'!B22)*0.9)+(('Etat Civil'!H14*'Prévision retraite'!B22)*0.9)+'Etat Civil'!H10*'Prévision retraite'!B22+'Etat Civil'!H16*'Prévision retraite'!B22+SUM('Prévision retraite'!F14:F17)*0.8</f>
        <v>50242.5</v>
      </c>
    </row>
    <row r="4" spans="1:15" ht="15" thickBot="1" x14ac:dyDescent="0.35">
      <c r="A4" s="574"/>
      <c r="B4" s="51"/>
      <c r="C4" s="52"/>
      <c r="D4" s="68"/>
      <c r="E4" s="52"/>
      <c r="F4" s="53"/>
      <c r="G4" s="569"/>
      <c r="H4" s="73" t="s">
        <v>209</v>
      </c>
      <c r="I4" s="71"/>
      <c r="J4" s="69">
        <f>'Prévision retraite'!C22</f>
        <v>2</v>
      </c>
      <c r="M4" s="20">
        <v>0</v>
      </c>
      <c r="O4" s="20" t="s">
        <v>166</v>
      </c>
    </row>
    <row r="5" spans="1:15" x14ac:dyDescent="0.3">
      <c r="A5" s="574"/>
      <c r="B5" s="54">
        <v>0</v>
      </c>
      <c r="C5" s="55">
        <v>10225</v>
      </c>
      <c r="D5" s="60">
        <f>0</f>
        <v>0</v>
      </c>
      <c r="E5" s="55">
        <f>0</f>
        <v>0</v>
      </c>
      <c r="F5" s="56"/>
      <c r="G5" s="569"/>
      <c r="H5" s="568"/>
      <c r="I5" s="568"/>
      <c r="J5" s="573"/>
      <c r="M5" s="20">
        <v>1</v>
      </c>
      <c r="O5" s="20" t="s">
        <v>167</v>
      </c>
    </row>
    <row r="6" spans="1:15" x14ac:dyDescent="0.3">
      <c r="A6" s="574"/>
      <c r="B6" s="54">
        <v>10226</v>
      </c>
      <c r="C6" s="55">
        <v>26070</v>
      </c>
      <c r="D6" s="60">
        <f>0.14</f>
        <v>0.14000000000000001</v>
      </c>
      <c r="E6" s="55">
        <f>(C6-B6)*D6</f>
        <v>2218.1600000000003</v>
      </c>
      <c r="F6" s="56"/>
      <c r="G6" s="569"/>
      <c r="H6" s="569"/>
      <c r="I6" s="569"/>
      <c r="J6" s="570"/>
      <c r="M6" s="20">
        <v>2</v>
      </c>
      <c r="O6" s="20" t="s">
        <v>168</v>
      </c>
    </row>
    <row r="7" spans="1:15" x14ac:dyDescent="0.3">
      <c r="A7" s="574"/>
      <c r="B7" s="54">
        <v>26071</v>
      </c>
      <c r="C7" s="55">
        <v>74545</v>
      </c>
      <c r="D7" s="60">
        <f>0.3</f>
        <v>0.3</v>
      </c>
      <c r="E7" s="55">
        <f>(C7-B7)*0.3</f>
        <v>14542.199999999999</v>
      </c>
      <c r="F7" s="56">
        <f>E7+E6</f>
        <v>16760.36</v>
      </c>
      <c r="G7" s="569"/>
      <c r="H7" s="569"/>
      <c r="I7" s="569"/>
      <c r="J7" s="570"/>
      <c r="M7" s="20">
        <v>3</v>
      </c>
    </row>
    <row r="8" spans="1:15" ht="15" thickBot="1" x14ac:dyDescent="0.35">
      <c r="A8" s="574"/>
      <c r="B8" s="54">
        <v>74546</v>
      </c>
      <c r="C8" s="55">
        <v>160336</v>
      </c>
      <c r="D8" s="60">
        <v>0.41</v>
      </c>
      <c r="E8" s="55">
        <f>(C8-B8)*D8</f>
        <v>35173.9</v>
      </c>
      <c r="F8" s="56">
        <f>SUM(E6:E8)</f>
        <v>51934.26</v>
      </c>
      <c r="G8" s="569"/>
      <c r="H8" s="569"/>
      <c r="I8" s="569"/>
      <c r="J8" s="570"/>
      <c r="M8" s="20">
        <v>4</v>
      </c>
    </row>
    <row r="9" spans="1:15" ht="15" thickBot="1" x14ac:dyDescent="0.35">
      <c r="A9" s="574"/>
      <c r="B9" s="57"/>
      <c r="C9" s="58"/>
      <c r="D9" s="61">
        <f>0.45</f>
        <v>0.45</v>
      </c>
      <c r="E9" s="58"/>
      <c r="F9" s="59"/>
      <c r="G9" s="569"/>
      <c r="H9" s="563"/>
      <c r="I9" s="564"/>
      <c r="J9" s="50"/>
      <c r="M9" s="20">
        <v>5</v>
      </c>
    </row>
    <row r="10" spans="1:15" x14ac:dyDescent="0.3">
      <c r="A10" s="574"/>
      <c r="B10" s="568"/>
      <c r="C10" s="568"/>
      <c r="D10" s="568"/>
      <c r="E10" s="568"/>
      <c r="F10" s="568"/>
      <c r="G10" s="569"/>
      <c r="H10" s="78" t="s">
        <v>210</v>
      </c>
      <c r="I10" s="74">
        <f>IF(J3&gt;=C8, (J3-C8)*D9+E8+E7+E6, IF(J3&gt;=C7, (J3-C7)*D8+E7+E6, IF(J3&gt;=C6, (J3-C6)*D7+E6, IF(J3&gt;=C5, (J3-C5)*D6, 0))))</f>
        <v>9469.91</v>
      </c>
      <c r="J10" s="50"/>
    </row>
    <row r="11" spans="1:15" x14ac:dyDescent="0.3">
      <c r="A11" s="574"/>
      <c r="B11" s="569" t="s">
        <v>211</v>
      </c>
      <c r="C11" s="569"/>
      <c r="D11" s="569"/>
      <c r="E11" s="569"/>
      <c r="F11" s="569"/>
      <c r="G11" s="569"/>
      <c r="H11" s="79" t="s">
        <v>212</v>
      </c>
      <c r="I11" s="75">
        <f>IF(J3&gt;=C28, (J3-C28)*D29+E28+E27+E26, IF(J3&gt;=C27, (J3-C27)*D28+E27+E26, IF(J3&gt;=C26, (J3-C26)*D27+E26, IF(J3&gt;=C25, (J3-C25)*D26, 0))))</f>
        <v>4170.9500000000007</v>
      </c>
      <c r="J11" s="50"/>
    </row>
    <row r="12" spans="1:15" x14ac:dyDescent="0.3">
      <c r="A12" s="574"/>
      <c r="B12" s="569"/>
      <c r="C12" s="569"/>
      <c r="D12" s="569"/>
      <c r="E12" s="569"/>
      <c r="F12" s="569"/>
      <c r="G12" s="569"/>
      <c r="H12" s="79"/>
      <c r="I12" s="76"/>
      <c r="J12" s="50"/>
    </row>
    <row r="13" spans="1:15" x14ac:dyDescent="0.3">
      <c r="A13" s="574"/>
      <c r="B13" s="569"/>
      <c r="C13" s="569"/>
      <c r="D13" s="569"/>
      <c r="E13" s="569"/>
      <c r="F13" s="569"/>
      <c r="G13" s="569"/>
      <c r="H13" s="79" t="s">
        <v>213</v>
      </c>
      <c r="I13" s="76">
        <f>IF('Impôt Retraite'!C5="Parent isolé (T)", 1,0)</f>
        <v>0</v>
      </c>
      <c r="J13" s="50"/>
    </row>
    <row r="14" spans="1:15" x14ac:dyDescent="0.3">
      <c r="A14" s="574"/>
      <c r="B14" s="569"/>
      <c r="C14" s="569"/>
      <c r="D14" s="569"/>
      <c r="E14" s="569"/>
      <c r="F14" s="569"/>
      <c r="G14" s="569"/>
      <c r="H14" s="79" t="s">
        <v>214</v>
      </c>
      <c r="I14" s="76">
        <f>IF('Impôt Retraite'!C5="Enfant élevé seul (L)", 1, 0)</f>
        <v>0</v>
      </c>
      <c r="J14" s="50"/>
    </row>
    <row r="15" spans="1:15" ht="15" thickBot="1" x14ac:dyDescent="0.35">
      <c r="A15" s="575"/>
      <c r="B15" s="571"/>
      <c r="C15" s="571"/>
      <c r="D15" s="571"/>
      <c r="E15" s="571"/>
      <c r="F15" s="571"/>
      <c r="G15" s="569"/>
      <c r="H15" s="79" t="s">
        <v>193</v>
      </c>
      <c r="I15" s="76">
        <f>IF('Impôt Retraite'!C5="Invalidité", 1,0)</f>
        <v>0</v>
      </c>
      <c r="J15" s="50"/>
    </row>
    <row r="16" spans="1:15" ht="16.2" thickBot="1" x14ac:dyDescent="0.35">
      <c r="A16" s="584"/>
      <c r="B16" s="585"/>
      <c r="C16" s="585"/>
      <c r="D16" s="585"/>
      <c r="E16" s="585"/>
      <c r="F16" s="586"/>
      <c r="G16" s="569"/>
      <c r="H16" s="79" t="s">
        <v>215</v>
      </c>
      <c r="I16" s="76">
        <f>IF('Impôt Retraite'!C5=0, (J4-1)*2, (J4-1)*2-1)</f>
        <v>2</v>
      </c>
      <c r="J16" s="50"/>
    </row>
    <row r="17" spans="1:17" x14ac:dyDescent="0.3">
      <c r="A17" s="94">
        <v>1592</v>
      </c>
      <c r="B17" s="43" t="s">
        <v>216</v>
      </c>
      <c r="C17" s="43"/>
      <c r="D17" s="43"/>
      <c r="E17" s="43"/>
      <c r="F17" s="44"/>
      <c r="G17" s="569"/>
      <c r="H17" s="79" t="s">
        <v>178</v>
      </c>
      <c r="I17" s="75">
        <f>I10-A17*I16-I13*A19-I14*A18-I15*A20</f>
        <v>6285.91</v>
      </c>
      <c r="J17" s="50"/>
      <c r="O17" s="20" t="s">
        <v>179</v>
      </c>
      <c r="P17" s="20">
        <v>0</v>
      </c>
      <c r="Q17" s="20">
        <v>1</v>
      </c>
    </row>
    <row r="18" spans="1:17" x14ac:dyDescent="0.3">
      <c r="A18" s="95">
        <v>936</v>
      </c>
      <c r="B18" s="45" t="s">
        <v>180</v>
      </c>
      <c r="C18" s="45"/>
      <c r="D18" s="45"/>
      <c r="E18" s="45"/>
      <c r="F18" s="46"/>
      <c r="G18" s="569"/>
      <c r="H18" s="79"/>
      <c r="I18" s="76"/>
      <c r="J18" s="50"/>
      <c r="P18" s="20">
        <v>1</v>
      </c>
      <c r="Q18" s="20">
        <v>1.5</v>
      </c>
    </row>
    <row r="19" spans="1:17" x14ac:dyDescent="0.3">
      <c r="A19" s="95">
        <f>3697-1567</f>
        <v>2130</v>
      </c>
      <c r="B19" s="45" t="s">
        <v>217</v>
      </c>
      <c r="C19" s="45"/>
      <c r="D19" s="45"/>
      <c r="E19" s="45"/>
      <c r="F19" s="46"/>
      <c r="G19" s="569"/>
      <c r="H19" s="79"/>
      <c r="I19" s="76"/>
      <c r="J19" s="50"/>
      <c r="P19" s="20">
        <v>2</v>
      </c>
      <c r="Q19" s="20">
        <v>2</v>
      </c>
    </row>
    <row r="20" spans="1:17" x14ac:dyDescent="0.3">
      <c r="A20" s="95">
        <v>3129</v>
      </c>
      <c r="B20" s="45" t="s">
        <v>218</v>
      </c>
      <c r="C20" s="45"/>
      <c r="D20" s="45"/>
      <c r="E20" s="45"/>
      <c r="F20" s="46"/>
      <c r="G20" s="569"/>
      <c r="H20" s="79" t="s">
        <v>183</v>
      </c>
      <c r="I20" s="75">
        <f>IF(I11&gt;I17, I11, I17)</f>
        <v>6285.91</v>
      </c>
      <c r="J20" s="50"/>
      <c r="P20" s="20">
        <v>3</v>
      </c>
      <c r="Q20" s="20">
        <v>3</v>
      </c>
    </row>
    <row r="21" spans="1:17" ht="15" thickBot="1" x14ac:dyDescent="0.35">
      <c r="A21" s="47"/>
      <c r="B21" s="48" t="s">
        <v>219</v>
      </c>
      <c r="C21" s="48"/>
      <c r="D21" s="48"/>
      <c r="E21" s="48"/>
      <c r="F21" s="49"/>
      <c r="G21" s="569"/>
      <c r="H21" s="79" t="s">
        <v>185</v>
      </c>
      <c r="I21" s="76">
        <f>IF(I20&lt;=1611, (1611*0.75-I20*0.75), 0)</f>
        <v>0</v>
      </c>
      <c r="J21" s="50"/>
      <c r="P21" s="20">
        <v>4</v>
      </c>
      <c r="Q21" s="20">
        <v>4</v>
      </c>
    </row>
    <row r="22" spans="1:17" ht="15" thickBot="1" x14ac:dyDescent="0.35">
      <c r="A22" s="567"/>
      <c r="B22" s="568"/>
      <c r="C22" s="568"/>
      <c r="D22" s="568"/>
      <c r="E22" s="568"/>
      <c r="F22" s="568"/>
      <c r="G22" s="569"/>
      <c r="H22" s="80" t="s">
        <v>186</v>
      </c>
      <c r="I22" s="77">
        <f>IF(I21&gt;I20, 0, I20-I21)</f>
        <v>6285.91</v>
      </c>
      <c r="J22" s="50"/>
    </row>
    <row r="23" spans="1:17" ht="15" thickBot="1" x14ac:dyDescent="0.35">
      <c r="A23" s="565"/>
      <c r="B23" s="563" t="s">
        <v>187</v>
      </c>
      <c r="C23" s="579"/>
      <c r="D23" s="579"/>
      <c r="E23" s="579"/>
      <c r="F23" s="564"/>
      <c r="G23" s="569"/>
      <c r="H23" s="569"/>
      <c r="I23" s="569"/>
      <c r="J23" s="570"/>
      <c r="O23" s="20" t="s">
        <v>188</v>
      </c>
      <c r="P23" s="20">
        <v>0</v>
      </c>
      <c r="Q23" s="20">
        <v>2</v>
      </c>
    </row>
    <row r="24" spans="1:17" x14ac:dyDescent="0.3">
      <c r="A24" s="565"/>
      <c r="B24" s="51"/>
      <c r="C24" s="52"/>
      <c r="D24" s="52"/>
      <c r="E24" s="52"/>
      <c r="F24" s="53"/>
      <c r="G24" s="569"/>
      <c r="H24" s="569"/>
      <c r="I24" s="569"/>
      <c r="J24" s="570"/>
      <c r="P24" s="20">
        <v>1</v>
      </c>
      <c r="Q24" s="20">
        <v>2.5</v>
      </c>
    </row>
    <row r="25" spans="1:17" x14ac:dyDescent="0.3">
      <c r="A25" s="565"/>
      <c r="B25" s="54">
        <v>0</v>
      </c>
      <c r="C25" s="55">
        <f>C5*$J$4</f>
        <v>20450</v>
      </c>
      <c r="D25" s="60">
        <f>0</f>
        <v>0</v>
      </c>
      <c r="E25" s="55">
        <f>0</f>
        <v>0</v>
      </c>
      <c r="F25" s="56"/>
      <c r="G25" s="569"/>
      <c r="H25" s="569"/>
      <c r="I25" s="569"/>
      <c r="J25" s="570"/>
      <c r="P25" s="20">
        <v>2</v>
      </c>
      <c r="Q25" s="20">
        <v>3</v>
      </c>
    </row>
    <row r="26" spans="1:17" x14ac:dyDescent="0.3">
      <c r="A26" s="565"/>
      <c r="B26" s="54">
        <f>B6*$J$4</f>
        <v>20452</v>
      </c>
      <c r="C26" s="55">
        <f>C6*$J$4</f>
        <v>52140</v>
      </c>
      <c r="D26" s="60">
        <f>0.14</f>
        <v>0.14000000000000001</v>
      </c>
      <c r="E26" s="55">
        <f>(C26-B26)*D26</f>
        <v>4436.3200000000006</v>
      </c>
      <c r="F26" s="56"/>
      <c r="G26" s="569"/>
      <c r="H26" s="569"/>
      <c r="I26" s="569"/>
      <c r="J26" s="570"/>
      <c r="P26" s="20">
        <v>3</v>
      </c>
      <c r="Q26" s="20">
        <v>4</v>
      </c>
    </row>
    <row r="27" spans="1:17" x14ac:dyDescent="0.3">
      <c r="A27" s="565"/>
      <c r="B27" s="54">
        <f>B7*$J$4</f>
        <v>52142</v>
      </c>
      <c r="C27" s="55">
        <f>C7*$J$4</f>
        <v>149090</v>
      </c>
      <c r="D27" s="60">
        <f>0.3</f>
        <v>0.3</v>
      </c>
      <c r="E27" s="55">
        <f>(C27-B27)*0.3</f>
        <v>29084.399999999998</v>
      </c>
      <c r="F27" s="56">
        <f>E27+E26</f>
        <v>33520.720000000001</v>
      </c>
      <c r="G27" s="569"/>
      <c r="H27" s="569"/>
      <c r="I27" s="569"/>
      <c r="J27" s="570"/>
      <c r="P27" s="20">
        <v>4</v>
      </c>
      <c r="Q27" s="20">
        <v>5</v>
      </c>
    </row>
    <row r="28" spans="1:17" x14ac:dyDescent="0.3">
      <c r="A28" s="565"/>
      <c r="B28" s="54">
        <f>B8*$J$4</f>
        <v>149092</v>
      </c>
      <c r="C28" s="55">
        <f>C8*$J$4</f>
        <v>320672</v>
      </c>
      <c r="D28" s="60">
        <v>0.41</v>
      </c>
      <c r="E28" s="55">
        <f>(C28-B28)*D28</f>
        <v>70347.8</v>
      </c>
      <c r="F28" s="56">
        <f>SUM(E26:E28)</f>
        <v>103868.52</v>
      </c>
      <c r="G28" s="569"/>
      <c r="H28" s="569"/>
      <c r="I28" s="569"/>
      <c r="J28" s="570"/>
    </row>
    <row r="29" spans="1:17" ht="15" thickBot="1" x14ac:dyDescent="0.35">
      <c r="A29" s="566"/>
      <c r="B29" s="57"/>
      <c r="C29" s="58"/>
      <c r="D29" s="61">
        <f>0.45</f>
        <v>0.45</v>
      </c>
      <c r="E29" s="58"/>
      <c r="F29" s="59"/>
      <c r="G29" s="571"/>
      <c r="H29" s="571"/>
      <c r="I29" s="571"/>
      <c r="J29" s="572"/>
    </row>
    <row r="30" spans="1:17" ht="15" thickBot="1" x14ac:dyDescent="0.35">
      <c r="A30" s="582"/>
      <c r="B30" s="582"/>
      <c r="C30" s="582"/>
      <c r="D30" s="582"/>
      <c r="E30" s="582"/>
      <c r="F30" s="582"/>
      <c r="G30" s="582"/>
      <c r="H30" s="582"/>
      <c r="I30" s="582"/>
      <c r="J30" s="582"/>
      <c r="O30" s="20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Civil'!C22="Alternée",IF('Etat Civil'!G36=1,0.25,IF('Etat Civil'!G36=2,0.5,IF('Etat Civil'!G36=3,1,IF('Etat Civil'!G36=4,1.5,2)))),0)</f>
        <v>2</v>
      </c>
    </row>
    <row r="31" spans="1:17" ht="15" thickBot="1" x14ac:dyDescent="0.35">
      <c r="A31" s="576" t="s">
        <v>189</v>
      </c>
      <c r="B31" s="580"/>
      <c r="C31" s="580"/>
      <c r="D31" s="580"/>
      <c r="E31" s="580"/>
      <c r="F31" s="580"/>
      <c r="G31" s="577"/>
      <c r="H31" s="577"/>
      <c r="I31" s="577"/>
      <c r="J31" s="578"/>
    </row>
    <row r="32" spans="1:17" ht="15" thickBot="1" x14ac:dyDescent="0.35">
      <c r="A32" s="567"/>
      <c r="B32" s="563"/>
      <c r="C32" s="579"/>
      <c r="D32" s="581"/>
      <c r="E32" s="62"/>
      <c r="F32" s="63"/>
      <c r="G32" s="583"/>
      <c r="H32" s="563"/>
      <c r="I32" s="564"/>
      <c r="J32" s="573"/>
    </row>
    <row r="33" spans="1:19" x14ac:dyDescent="0.3">
      <c r="A33" s="574"/>
      <c r="B33" s="64">
        <f>B5*2</f>
        <v>0</v>
      </c>
      <c r="C33" s="65">
        <f>C5*2</f>
        <v>20450</v>
      </c>
      <c r="D33" s="67">
        <v>0</v>
      </c>
      <c r="E33" s="65">
        <v>0</v>
      </c>
      <c r="F33" s="66"/>
      <c r="G33" s="565"/>
      <c r="H33" s="81" t="s">
        <v>220</v>
      </c>
      <c r="I33" s="84">
        <f>IF(J3&gt;=C37, (J3-C37)*D38+E37+E36+E34, IF(J3&gt;=C36, (J3-C36)*D37+E36+E34, IF(J3&gt;=C34, (J3-C34)*D36+E34, IF(J3&gt;=C33, (J3-C33)*D34, 0))))</f>
        <v>4170.9500000000007</v>
      </c>
      <c r="J33" s="570"/>
    </row>
    <row r="34" spans="1:19" x14ac:dyDescent="0.3">
      <c r="A34" s="574"/>
      <c r="B34" s="54">
        <f t="shared" ref="B34:C34" si="0">B6*2</f>
        <v>20452</v>
      </c>
      <c r="C34" s="55">
        <f t="shared" si="0"/>
        <v>52140</v>
      </c>
      <c r="D34" s="60">
        <v>0.14000000000000001</v>
      </c>
      <c r="E34" s="55">
        <f>(C34-B34)*D34</f>
        <v>4436.3200000000006</v>
      </c>
      <c r="F34" s="56"/>
      <c r="G34" s="565"/>
      <c r="H34" s="82" t="s">
        <v>212</v>
      </c>
      <c r="I34" s="85">
        <f>IF(J3&gt;=C28, (J3-C28)*D29+E28+E27+E26, IF(J3&gt;=C27, (J3-C27)*D28+E27+E26, IF(J3&gt;=C26, (J3-C26)*D27+E26, IF(J3&gt;=C25, (J3-C25)*D26, 0))))</f>
        <v>4170.9500000000007</v>
      </c>
      <c r="J34" s="570"/>
      <c r="O34" s="20">
        <f>1196*1.01</f>
        <v>1207.96</v>
      </c>
    </row>
    <row r="35" spans="1:19" x14ac:dyDescent="0.3">
      <c r="A35" s="574"/>
      <c r="B35" s="54"/>
      <c r="C35" s="55"/>
      <c r="D35" s="60"/>
      <c r="E35" s="55"/>
      <c r="F35" s="56"/>
      <c r="G35" s="565"/>
      <c r="H35" s="82" t="s">
        <v>193</v>
      </c>
      <c r="I35" s="86">
        <f>IF('Impôt Retraite'!C5="Invalidité", 1,0)</f>
        <v>0</v>
      </c>
      <c r="J35" s="570"/>
      <c r="O35" s="20">
        <f>1970*(1+O36)</f>
        <v>1989.7</v>
      </c>
      <c r="R35" s="20">
        <f>1208-0.75*1000</f>
        <v>458</v>
      </c>
      <c r="S35" s="20">
        <v>1611</v>
      </c>
    </row>
    <row r="36" spans="1:19" x14ac:dyDescent="0.3">
      <c r="A36" s="574"/>
      <c r="B36" s="54">
        <f>B7*2</f>
        <v>52142</v>
      </c>
      <c r="C36" s="55">
        <f>C7*2</f>
        <v>149090</v>
      </c>
      <c r="D36" s="60">
        <v>0.3</v>
      </c>
      <c r="E36" s="55">
        <f>(C36-B36)*D36</f>
        <v>29084.399999999998</v>
      </c>
      <c r="F36" s="56">
        <f>E34+E36</f>
        <v>33520.720000000001</v>
      </c>
      <c r="G36" s="565"/>
      <c r="H36" s="82" t="s">
        <v>221</v>
      </c>
      <c r="I36" s="86">
        <f>MAX(0,IF('Impôt Retraite'!C5=0, (J4-2)*2, (J4-2)*2-1))</f>
        <v>0</v>
      </c>
      <c r="J36" s="570"/>
      <c r="O36" s="20">
        <v>0.01</v>
      </c>
      <c r="S36" s="20">
        <v>2653</v>
      </c>
    </row>
    <row r="37" spans="1:19" x14ac:dyDescent="0.3">
      <c r="A37" s="574"/>
      <c r="B37" s="54">
        <f>B8*2</f>
        <v>149092</v>
      </c>
      <c r="C37" s="55">
        <f>C8*2</f>
        <v>320672</v>
      </c>
      <c r="D37" s="60">
        <v>0.41</v>
      </c>
      <c r="E37" s="55">
        <f>(C37-B37)*D37</f>
        <v>70347.8</v>
      </c>
      <c r="F37" s="56">
        <f>E34+E36+E37</f>
        <v>103868.52</v>
      </c>
      <c r="G37" s="565"/>
      <c r="H37" s="82" t="s">
        <v>178</v>
      </c>
      <c r="I37" s="85">
        <f>I33-A17*I36-I35*A20</f>
        <v>4170.9500000000007</v>
      </c>
      <c r="J37" s="570"/>
    </row>
    <row r="38" spans="1:19" ht="15" thickBot="1" x14ac:dyDescent="0.35">
      <c r="A38" s="574"/>
      <c r="B38" s="57"/>
      <c r="C38" s="58"/>
      <c r="D38" s="61">
        <v>0.45</v>
      </c>
      <c r="E38" s="58"/>
      <c r="F38" s="59"/>
      <c r="G38" s="565"/>
      <c r="H38" s="82"/>
      <c r="I38" s="86"/>
      <c r="J38" s="570"/>
    </row>
    <row r="39" spans="1:19" x14ac:dyDescent="0.3">
      <c r="A39" s="574"/>
      <c r="B39" s="569"/>
      <c r="C39" s="569"/>
      <c r="D39" s="569"/>
      <c r="E39" s="569"/>
      <c r="F39" s="569"/>
      <c r="G39" s="569"/>
      <c r="H39" s="82" t="s">
        <v>183</v>
      </c>
      <c r="I39" s="85">
        <f>IF(I34&gt;I37, I34, I37)</f>
        <v>4170.9500000000007</v>
      </c>
      <c r="J39" s="570"/>
    </row>
    <row r="40" spans="1:19" x14ac:dyDescent="0.3">
      <c r="A40" s="574"/>
      <c r="B40" s="569"/>
      <c r="C40" s="569"/>
      <c r="D40" s="569"/>
      <c r="E40" s="569"/>
      <c r="F40" s="569"/>
      <c r="G40" s="569"/>
      <c r="H40" s="82" t="s">
        <v>185</v>
      </c>
      <c r="I40" s="87">
        <f>IF(I39&lt;=2653, 2653*0.75-I39*0.75, 0)</f>
        <v>0</v>
      </c>
      <c r="J40" s="570"/>
    </row>
    <row r="41" spans="1:19" ht="15" thickBot="1" x14ac:dyDescent="0.35">
      <c r="A41" s="574"/>
      <c r="B41" s="569"/>
      <c r="C41" s="569"/>
      <c r="D41" s="569"/>
      <c r="E41" s="569"/>
      <c r="F41" s="569"/>
      <c r="G41" s="569"/>
      <c r="H41" s="83" t="s">
        <v>186</v>
      </c>
      <c r="I41" s="88">
        <f>IF(I40&gt;I39, 0, I39-I40)</f>
        <v>4170.9500000000007</v>
      </c>
      <c r="J41" s="570"/>
    </row>
  </sheetData>
  <sheetProtection algorithmName="SHA-512" hashValue="yp90A5Jo74xesy6X8QcSTLusfNlM72wI7NtpA+hGfByB+FWiA64IPfgy8soKbz+d/I+eJ7JZG+ghU9M/Vu1juQ==" saltValue="KaN0iZYXlss7kJtrZqWKLg==" spinCount="100000" sheet="1" objects="1" scenarios="1" selectLockedCells="1" selectUnlockedCells="1"/>
  <mergeCells count="22">
    <mergeCell ref="A1:J1"/>
    <mergeCell ref="B3:F3"/>
    <mergeCell ref="B23:F23"/>
    <mergeCell ref="A31:J31"/>
    <mergeCell ref="A2:F2"/>
    <mergeCell ref="G2:G29"/>
    <mergeCell ref="H2:J2"/>
    <mergeCell ref="A3:A15"/>
    <mergeCell ref="H5:J8"/>
    <mergeCell ref="H9:I9"/>
    <mergeCell ref="B10:F15"/>
    <mergeCell ref="A16:F16"/>
    <mergeCell ref="A22:F22"/>
    <mergeCell ref="A23:A29"/>
    <mergeCell ref="H23:J29"/>
    <mergeCell ref="A30:J30"/>
    <mergeCell ref="A32:A41"/>
    <mergeCell ref="B32:D32"/>
    <mergeCell ref="G32:G38"/>
    <mergeCell ref="H32:I32"/>
    <mergeCell ref="J32:J41"/>
    <mergeCell ref="B39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J32" sqref="A1:N42"/>
    </sheetView>
  </sheetViews>
  <sheetFormatPr baseColWidth="10" defaultColWidth="10.19921875" defaultRowHeight="14.4" x14ac:dyDescent="0.3"/>
  <cols>
    <col min="1" max="1" width="10.19921875" style="21"/>
    <col min="2" max="2" width="20.19921875" style="21" customWidth="1"/>
    <col min="3" max="3" width="26.19921875" style="21" customWidth="1"/>
    <col min="4" max="4" width="15.69921875" style="21" bestFit="1" customWidth="1"/>
    <col min="5" max="16384" width="10.19921875" style="21"/>
  </cols>
  <sheetData>
    <row r="1" spans="1:29" ht="28.8" x14ac:dyDescent="0.55000000000000004">
      <c r="A1" s="588" t="s">
        <v>195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90"/>
      <c r="O1" s="591" t="s">
        <v>196</v>
      </c>
      <c r="P1" s="592"/>
      <c r="Q1" s="592"/>
      <c r="R1" s="592"/>
      <c r="S1" s="592"/>
      <c r="T1" s="592"/>
      <c r="U1" s="592"/>
      <c r="V1" s="592"/>
      <c r="W1" s="592"/>
      <c r="X1" s="592"/>
      <c r="Y1" s="592"/>
      <c r="Z1" s="592"/>
      <c r="AA1" s="592"/>
      <c r="AB1" s="592"/>
      <c r="AC1" s="592"/>
    </row>
    <row r="2" spans="1:29" ht="15.6" x14ac:dyDescent="0.3">
      <c r="A2" s="22"/>
      <c r="K2" s="594" t="s">
        <v>197</v>
      </c>
      <c r="L2" s="594"/>
      <c r="M2" s="594"/>
      <c r="N2" s="595"/>
      <c r="O2" s="593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</row>
    <row r="3" spans="1:29" ht="28.5" customHeight="1" x14ac:dyDescent="0.3">
      <c r="A3" s="23" t="s">
        <v>198</v>
      </c>
      <c r="B3" s="24"/>
      <c r="C3" s="25" t="str">
        <f>'Etat Civil'!C19</f>
        <v>Marié</v>
      </c>
      <c r="N3" s="26"/>
      <c r="O3" s="593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</row>
    <row r="4" spans="1:29" ht="28.5" customHeight="1" x14ac:dyDescent="0.3">
      <c r="A4" s="23" t="s">
        <v>199</v>
      </c>
      <c r="B4" s="24"/>
      <c r="C4" s="25">
        <v>0</v>
      </c>
      <c r="N4" s="26"/>
      <c r="O4" s="593"/>
      <c r="P4" s="592"/>
      <c r="Q4" s="592"/>
      <c r="R4" s="592"/>
      <c r="S4" s="592"/>
      <c r="T4" s="592"/>
      <c r="U4" s="592"/>
      <c r="V4" s="592"/>
      <c r="W4" s="592"/>
      <c r="X4" s="592"/>
      <c r="Y4" s="592"/>
      <c r="Z4" s="592"/>
      <c r="AA4" s="592"/>
      <c r="AB4" s="592"/>
      <c r="AC4" s="592"/>
    </row>
    <row r="5" spans="1:29" ht="28.5" customHeight="1" x14ac:dyDescent="0.3">
      <c r="A5" s="23" t="s">
        <v>28</v>
      </c>
      <c r="B5" s="24"/>
      <c r="C5" s="27">
        <f>IF('Etat Civil'!C21="Parent isolé (T)",0,'Etat Civil'!C21)</f>
        <v>0</v>
      </c>
      <c r="D5" s="543" t="s">
        <v>200</v>
      </c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93"/>
      <c r="P5" s="592"/>
      <c r="Q5" s="592"/>
      <c r="R5" s="592"/>
      <c r="S5" s="592"/>
      <c r="T5" s="592"/>
      <c r="U5" s="592"/>
      <c r="V5" s="592"/>
      <c r="W5" s="592"/>
      <c r="X5" s="592"/>
      <c r="Y5" s="592"/>
      <c r="Z5" s="592"/>
      <c r="AA5" s="592"/>
      <c r="AB5" s="592"/>
      <c r="AC5" s="592"/>
    </row>
    <row r="6" spans="1:29" ht="28.5" customHeight="1" x14ac:dyDescent="0.3">
      <c r="A6" s="23"/>
      <c r="B6" s="24"/>
      <c r="C6" s="28"/>
      <c r="N6" s="26"/>
      <c r="O6" s="593"/>
      <c r="P6" s="592"/>
      <c r="Q6" s="592"/>
      <c r="R6" s="592"/>
      <c r="S6" s="592"/>
      <c r="T6" s="592"/>
      <c r="U6" s="592"/>
      <c r="V6" s="592"/>
      <c r="W6" s="592"/>
      <c r="X6" s="592"/>
      <c r="Y6" s="592"/>
      <c r="Z6" s="592"/>
      <c r="AA6" s="592"/>
      <c r="AB6" s="592"/>
      <c r="AC6" s="592"/>
    </row>
    <row r="7" spans="1:29" ht="28.5" hidden="1" customHeight="1" x14ac:dyDescent="0.3">
      <c r="A7" s="23"/>
      <c r="B7" s="24"/>
      <c r="C7" s="28"/>
      <c r="N7" s="26"/>
      <c r="O7" s="593"/>
      <c r="P7" s="592"/>
      <c r="Q7" s="592"/>
      <c r="R7" s="592"/>
      <c r="S7" s="592"/>
      <c r="T7" s="592"/>
      <c r="U7" s="592"/>
      <c r="V7" s="592"/>
      <c r="W7" s="592"/>
      <c r="X7" s="592"/>
      <c r="Y7" s="592"/>
      <c r="Z7" s="592"/>
      <c r="AA7" s="592"/>
      <c r="AB7" s="592"/>
      <c r="AC7" s="592"/>
    </row>
    <row r="8" spans="1:29" ht="28.5" customHeight="1" x14ac:dyDescent="0.3">
      <c r="A8" s="23" t="s">
        <v>201</v>
      </c>
      <c r="B8" s="24"/>
      <c r="C8" s="135">
        <f>'Calcul IR Bis Retraite'!J3</f>
        <v>50242.5</v>
      </c>
      <c r="D8" s="596" t="s">
        <v>202</v>
      </c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593"/>
      <c r="P8" s="592"/>
      <c r="Q8" s="592"/>
      <c r="R8" s="592"/>
      <c r="S8" s="592"/>
      <c r="T8" s="592"/>
      <c r="U8" s="592"/>
      <c r="V8" s="592"/>
      <c r="W8" s="592"/>
      <c r="X8" s="592"/>
      <c r="Y8" s="592"/>
      <c r="Z8" s="592"/>
      <c r="AA8" s="592"/>
      <c r="AB8" s="592"/>
      <c r="AC8" s="592"/>
    </row>
    <row r="9" spans="1:29" ht="28.5" customHeight="1" x14ac:dyDescent="0.3">
      <c r="A9" s="29"/>
      <c r="B9" s="24"/>
      <c r="C9" s="30"/>
      <c r="N9" s="26"/>
      <c r="O9" s="593"/>
      <c r="P9" s="592"/>
      <c r="Q9" s="592"/>
      <c r="R9" s="592"/>
      <c r="S9" s="592"/>
      <c r="T9" s="592"/>
      <c r="U9" s="592"/>
      <c r="V9" s="592"/>
      <c r="W9" s="592"/>
      <c r="X9" s="592"/>
      <c r="Y9" s="592"/>
      <c r="Z9" s="592"/>
      <c r="AA9" s="592"/>
      <c r="AB9" s="592"/>
      <c r="AC9" s="592"/>
    </row>
    <row r="10" spans="1:29" ht="28.5" customHeight="1" x14ac:dyDescent="0.3">
      <c r="A10" s="31" t="s">
        <v>203</v>
      </c>
      <c r="B10" s="32"/>
      <c r="C10" s="33">
        <f>IF(C5=0,'Calcul IR Bis Retraite'!O30,'Calcul IR Bis Retraite'!O30+0.5)</f>
        <v>2</v>
      </c>
      <c r="N10" s="26"/>
      <c r="O10" s="593"/>
      <c r="P10" s="592"/>
      <c r="Q10" s="592"/>
      <c r="R10" s="592"/>
      <c r="S10" s="592"/>
      <c r="T10" s="592"/>
      <c r="U10" s="592"/>
      <c r="V10" s="592"/>
      <c r="W10" s="592"/>
      <c r="X10" s="592"/>
      <c r="Y10" s="592"/>
      <c r="Z10" s="592"/>
      <c r="AA10" s="592"/>
      <c r="AB10" s="592"/>
      <c r="AC10" s="592"/>
    </row>
    <row r="11" spans="1:29" ht="28.5" customHeight="1" x14ac:dyDescent="0.3">
      <c r="A11" s="29"/>
      <c r="B11" s="24"/>
      <c r="C11" s="30"/>
      <c r="N11" s="26"/>
      <c r="O11" s="593"/>
      <c r="P11" s="592"/>
      <c r="Q11" s="592"/>
      <c r="R11" s="592"/>
      <c r="S11" s="592"/>
      <c r="T11" s="592"/>
      <c r="U11" s="592"/>
      <c r="V11" s="592"/>
      <c r="W11" s="592"/>
      <c r="X11" s="592"/>
      <c r="Y11" s="592"/>
      <c r="Z11" s="592"/>
      <c r="AA11" s="592"/>
      <c r="AB11" s="592"/>
      <c r="AC11" s="592"/>
    </row>
    <row r="12" spans="1:29" ht="28.5" customHeight="1" x14ac:dyDescent="0.3">
      <c r="A12" s="34" t="s">
        <v>204</v>
      </c>
      <c r="B12" s="35"/>
      <c r="C12" s="123">
        <f>IF(OR(C3="Célibataire",C3="Divorcé",C3="Veuf",C3="Concubinage"),'Calcul IR Bis Retraite'!I20, 'Calcul IR Bis Retraite'!I39)</f>
        <v>4170.9500000000007</v>
      </c>
      <c r="N12" s="26"/>
      <c r="O12" s="593"/>
      <c r="P12" s="592"/>
      <c r="Q12" s="592"/>
      <c r="R12" s="592"/>
      <c r="S12" s="592"/>
      <c r="T12" s="592"/>
      <c r="U12" s="592"/>
      <c r="V12" s="592"/>
      <c r="W12" s="592"/>
      <c r="X12" s="592"/>
      <c r="Y12" s="592"/>
      <c r="Z12" s="592"/>
      <c r="AA12" s="592"/>
      <c r="AB12" s="592"/>
      <c r="AC12" s="592"/>
    </row>
    <row r="13" spans="1:29" ht="28.5" customHeight="1" x14ac:dyDescent="0.3">
      <c r="A13" s="34" t="s">
        <v>185</v>
      </c>
      <c r="B13" s="35"/>
      <c r="C13" s="42">
        <f>IF(OR(C3="Célibataire",C3="Divorcé",C3="Veuf",C3="Concubinage"),'Calcul IR Bis Retraite'!I21, 'Calcul IR Bis Retraite'!I40)</f>
        <v>0</v>
      </c>
      <c r="D13" s="597" t="s">
        <v>222</v>
      </c>
      <c r="E13" s="597"/>
      <c r="F13" s="597"/>
      <c r="G13" s="597"/>
      <c r="H13" s="597"/>
      <c r="I13" s="597"/>
      <c r="J13" s="597"/>
      <c r="K13" s="597"/>
      <c r="L13" s="597"/>
      <c r="M13" s="597"/>
      <c r="N13" s="598"/>
      <c r="O13" s="593"/>
      <c r="P13" s="592"/>
      <c r="Q13" s="592"/>
      <c r="R13" s="592"/>
      <c r="S13" s="592"/>
      <c r="T13" s="592"/>
      <c r="U13" s="592"/>
      <c r="V13" s="592"/>
      <c r="W13" s="592"/>
      <c r="X13" s="592"/>
      <c r="Y13" s="592"/>
      <c r="Z13" s="592"/>
      <c r="AA13" s="592"/>
      <c r="AB13" s="592"/>
      <c r="AC13" s="592"/>
    </row>
    <row r="14" spans="1:29" ht="34.5" customHeight="1" x14ac:dyDescent="0.3">
      <c r="A14" s="36" t="s">
        <v>41</v>
      </c>
      <c r="B14" s="37"/>
      <c r="C14" s="38">
        <f>IF(OR(C3="Célibataire",C3="Divorcé",C3="Veuf",C3="Concubinage"),'Calcul IR Bis Retraite'!I22, 'Calcul IR Bis Retraite'!I41)</f>
        <v>4170.9500000000007</v>
      </c>
      <c r="D14" s="124">
        <f>C14</f>
        <v>4170.9500000000007</v>
      </c>
      <c r="N14" s="26"/>
      <c r="O14" s="593"/>
      <c r="P14" s="592"/>
      <c r="Q14" s="592"/>
      <c r="R14" s="592"/>
      <c r="S14" s="592"/>
      <c r="T14" s="592"/>
      <c r="U14" s="592"/>
      <c r="V14" s="592"/>
      <c r="W14" s="592"/>
      <c r="X14" s="592"/>
      <c r="Y14" s="592"/>
      <c r="Z14" s="592"/>
      <c r="AA14" s="592"/>
      <c r="AB14" s="592"/>
      <c r="AC14" s="592"/>
    </row>
    <row r="15" spans="1:29" x14ac:dyDescent="0.3">
      <c r="A15" s="599" t="s">
        <v>206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601"/>
      <c r="O15" s="593"/>
      <c r="P15" s="592"/>
      <c r="Q15" s="592"/>
      <c r="R15" s="592"/>
      <c r="S15" s="592"/>
      <c r="T15" s="592"/>
      <c r="U15" s="592"/>
      <c r="V15" s="592"/>
      <c r="W15" s="592"/>
      <c r="X15" s="592"/>
      <c r="Y15" s="592"/>
      <c r="Z15" s="592"/>
      <c r="AA15" s="592"/>
      <c r="AB15" s="592"/>
      <c r="AC15" s="592"/>
    </row>
    <row r="16" spans="1:29" x14ac:dyDescent="0.3">
      <c r="A16" s="22"/>
      <c r="N16" s="26"/>
      <c r="O16" s="593"/>
      <c r="P16" s="592"/>
      <c r="Q16" s="592"/>
      <c r="R16" s="592"/>
      <c r="S16" s="592"/>
      <c r="T16" s="592"/>
      <c r="U16" s="592"/>
      <c r="V16" s="592"/>
      <c r="W16" s="592"/>
      <c r="X16" s="592"/>
      <c r="Y16" s="592"/>
      <c r="Z16" s="592"/>
      <c r="AA16" s="592"/>
      <c r="AB16" s="592"/>
      <c r="AC16" s="592"/>
    </row>
    <row r="17" spans="1:29" hidden="1" x14ac:dyDescent="0.3">
      <c r="A17" s="22"/>
      <c r="N17" s="26"/>
      <c r="O17" s="593"/>
      <c r="P17" s="592"/>
      <c r="Q17" s="592"/>
      <c r="R17" s="592"/>
      <c r="S17" s="592"/>
      <c r="T17" s="592"/>
      <c r="U17" s="592"/>
      <c r="V17" s="592"/>
      <c r="W17" s="592"/>
      <c r="X17" s="592"/>
      <c r="Y17" s="592"/>
      <c r="Z17" s="592"/>
      <c r="AA17" s="592"/>
      <c r="AB17" s="592"/>
      <c r="AC17" s="592"/>
    </row>
    <row r="18" spans="1:29" ht="15" hidden="1" customHeight="1" x14ac:dyDescent="0.3">
      <c r="A18" s="22"/>
      <c r="N18" s="26"/>
      <c r="O18" s="593"/>
      <c r="P18" s="592"/>
      <c r="Q18" s="592"/>
      <c r="R18" s="592"/>
      <c r="S18" s="592"/>
      <c r="T18" s="592"/>
      <c r="U18" s="592"/>
      <c r="V18" s="592"/>
      <c r="W18" s="592"/>
      <c r="X18" s="592"/>
      <c r="Y18" s="592"/>
      <c r="Z18" s="592"/>
      <c r="AA18" s="592"/>
      <c r="AB18" s="592"/>
      <c r="AC18" s="592"/>
    </row>
    <row r="19" spans="1:29" ht="15" thickBot="1" x14ac:dyDescent="0.3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593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592"/>
      <c r="AB19" s="592"/>
      <c r="AC19" s="592"/>
    </row>
  </sheetData>
  <sheetProtection algorithmName="SHA-512" hashValue="kTumCrbB5pjuNP9smxAm8ML+tqt2dFe4xpXdfqVSQfeSQoCiNuWXyYRpJryLngVejE8JMr3WMO7poFJqDxiJqA==" saltValue="rnGPHHP/XHDCp7/8i85Bm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70" zoomScaleNormal="70" workbookViewId="0">
      <selection activeCell="S17" sqref="S17"/>
    </sheetView>
  </sheetViews>
  <sheetFormatPr baseColWidth="10" defaultColWidth="11" defaultRowHeight="15.6" x14ac:dyDescent="0.3"/>
  <cols>
    <col min="1" max="1" width="4.5" customWidth="1"/>
  </cols>
  <sheetData>
    <row r="2" spans="2:14" ht="1.2" customHeight="1" x14ac:dyDescent="0.3"/>
    <row r="4" spans="2:14" ht="28.95" customHeight="1" x14ac:dyDescent="0.3">
      <c r="B4" s="330" t="s">
        <v>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1">
        <f ca="1">TODAY()</f>
        <v>45581</v>
      </c>
      <c r="N4" s="332"/>
    </row>
    <row r="5" spans="2:14" ht="16.2" customHeight="1" x14ac:dyDescent="0.3"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2"/>
      <c r="N5" s="332"/>
    </row>
    <row r="6" spans="2:14" x14ac:dyDescent="0.3">
      <c r="M6" s="16"/>
    </row>
    <row r="7" spans="2:14" ht="21" x14ac:dyDescent="0.4">
      <c r="E7" s="329" t="s">
        <v>1</v>
      </c>
      <c r="F7" s="329"/>
      <c r="G7" s="329"/>
      <c r="H7" s="329"/>
      <c r="I7" s="329"/>
      <c r="J7" s="329"/>
      <c r="K7" s="329"/>
    </row>
    <row r="8" spans="2:14" ht="21" x14ac:dyDescent="0.4">
      <c r="E8" s="1"/>
      <c r="F8" s="1"/>
      <c r="G8" s="1"/>
      <c r="H8" s="179" t="s">
        <v>2</v>
      </c>
      <c r="I8" s="1"/>
      <c r="J8" s="1"/>
      <c r="K8" s="1"/>
    </row>
    <row r="9" spans="2:14" ht="21" x14ac:dyDescent="0.4">
      <c r="E9" s="1"/>
      <c r="F9" s="329" t="s">
        <v>3</v>
      </c>
      <c r="G9" s="329"/>
      <c r="H9" s="329"/>
      <c r="I9" s="329"/>
      <c r="J9" s="329"/>
      <c r="K9" s="1"/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60"/>
  <sheetViews>
    <sheetView showGridLines="0" tabSelected="1" zoomScaleNormal="100" workbookViewId="0">
      <selection activeCell="G26" sqref="G26:H26"/>
    </sheetView>
  </sheetViews>
  <sheetFormatPr baseColWidth="10" defaultColWidth="11" defaultRowHeight="15.6" x14ac:dyDescent="0.3"/>
  <cols>
    <col min="1" max="1" width="2.69921875" customWidth="1"/>
    <col min="2" max="2" width="22.69921875" customWidth="1"/>
    <col min="3" max="3" width="16.69921875" customWidth="1"/>
    <col min="4" max="4" width="10.69921875" customWidth="1"/>
    <col min="5" max="5" width="15.19921875" customWidth="1"/>
    <col min="6" max="6" width="23.5" customWidth="1"/>
    <col min="7" max="7" width="16.19921875" customWidth="1"/>
    <col min="8" max="8" width="16.69921875" customWidth="1"/>
    <col min="10" max="10" width="0" hidden="1" customWidth="1"/>
  </cols>
  <sheetData>
    <row r="1" spans="2:10" ht="3" customHeight="1" thickBot="1" x14ac:dyDescent="0.35"/>
    <row r="2" spans="2:10" ht="19.95" customHeight="1" x14ac:dyDescent="0.3">
      <c r="B2" s="343" t="s">
        <v>4</v>
      </c>
      <c r="C2" s="344"/>
      <c r="D2" s="344"/>
      <c r="E2" s="344"/>
      <c r="F2" s="344"/>
      <c r="G2" s="344"/>
      <c r="H2" s="345"/>
    </row>
    <row r="3" spans="2:10" ht="19.95" customHeight="1" thickBot="1" x14ac:dyDescent="0.35">
      <c r="B3" s="346"/>
      <c r="C3" s="347"/>
      <c r="D3" s="347"/>
      <c r="E3" s="347"/>
      <c r="F3" s="347"/>
      <c r="G3" s="347"/>
      <c r="H3" s="348"/>
    </row>
    <row r="4" spans="2:10" ht="3.45" customHeight="1" thickBot="1" x14ac:dyDescent="0.35"/>
    <row r="5" spans="2:10" x14ac:dyDescent="0.3">
      <c r="F5" s="371" t="s">
        <v>5</v>
      </c>
      <c r="G5" s="372"/>
      <c r="H5" s="372"/>
    </row>
    <row r="6" spans="2:10" ht="3.45" customHeight="1" thickBot="1" x14ac:dyDescent="0.35"/>
    <row r="7" spans="2:10" ht="16.2" thickBot="1" x14ac:dyDescent="0.35">
      <c r="B7" s="235" t="s">
        <v>6</v>
      </c>
      <c r="C7" s="358"/>
      <c r="D7" s="352"/>
      <c r="E7" s="359"/>
      <c r="F7" s="219" t="s">
        <v>7</v>
      </c>
      <c r="G7" s="220" t="s">
        <v>8</v>
      </c>
      <c r="H7" s="223" t="s">
        <v>9</v>
      </c>
      <c r="J7" t="s">
        <v>10</v>
      </c>
    </row>
    <row r="8" spans="2:10" x14ac:dyDescent="0.3">
      <c r="B8" s="236" t="s">
        <v>11</v>
      </c>
      <c r="C8" s="360" t="s">
        <v>262</v>
      </c>
      <c r="D8" s="350"/>
      <c r="E8" s="351"/>
      <c r="F8" s="226" t="s">
        <v>12</v>
      </c>
      <c r="G8" s="125">
        <v>80000</v>
      </c>
      <c r="H8" s="128">
        <f>G8*0.77</f>
        <v>61600</v>
      </c>
      <c r="J8" t="s">
        <v>13</v>
      </c>
    </row>
    <row r="9" spans="2:10" x14ac:dyDescent="0.3">
      <c r="B9" s="236" t="s">
        <v>14</v>
      </c>
      <c r="C9" s="349" t="s">
        <v>263</v>
      </c>
      <c r="D9" s="350"/>
      <c r="E9" s="351"/>
      <c r="F9" s="227" t="s">
        <v>15</v>
      </c>
      <c r="G9" s="126"/>
      <c r="H9" s="89">
        <f>IF(ISNUMBER(G9),G9*0.7,0)</f>
        <v>0</v>
      </c>
    </row>
    <row r="10" spans="2:10" ht="16.2" thickBot="1" x14ac:dyDescent="0.35">
      <c r="B10" s="236" t="s">
        <v>16</v>
      </c>
      <c r="C10" s="349" t="s">
        <v>264</v>
      </c>
      <c r="D10" s="363"/>
      <c r="E10" s="351"/>
      <c r="F10" s="227" t="s">
        <v>132</v>
      </c>
      <c r="G10" s="126"/>
      <c r="H10" s="89">
        <f>+G10*0.77</f>
        <v>0</v>
      </c>
    </row>
    <row r="11" spans="2:10" ht="16.2" thickBot="1" x14ac:dyDescent="0.35">
      <c r="B11" s="239" t="s">
        <v>18</v>
      </c>
      <c r="C11" s="237" t="s">
        <v>19</v>
      </c>
      <c r="D11" s="240" t="str">
        <f>IF(C11=G45,"Montant","")</f>
        <v/>
      </c>
      <c r="E11" s="238"/>
      <c r="F11" s="227" t="s">
        <v>17</v>
      </c>
      <c r="G11" s="240"/>
      <c r="H11" s="89"/>
    </row>
    <row r="12" spans="2:10" ht="7.2" customHeight="1" thickBot="1" x14ac:dyDescent="0.35"/>
    <row r="13" spans="2:10" ht="16.2" thickBot="1" x14ac:dyDescent="0.35">
      <c r="B13" s="235" t="s">
        <v>20</v>
      </c>
      <c r="C13" s="358"/>
      <c r="D13" s="352"/>
      <c r="E13" s="359"/>
      <c r="F13" s="233" t="s">
        <v>7</v>
      </c>
      <c r="G13" s="213" t="s">
        <v>8</v>
      </c>
      <c r="H13" s="214" t="s">
        <v>9</v>
      </c>
    </row>
    <row r="14" spans="2:10" x14ac:dyDescent="0.3">
      <c r="B14" s="236" t="s">
        <v>241</v>
      </c>
      <c r="C14" s="360" t="s">
        <v>262</v>
      </c>
      <c r="D14" s="350"/>
      <c r="E14" s="351"/>
      <c r="F14" s="234" t="s">
        <v>12</v>
      </c>
      <c r="G14" s="208">
        <v>65000</v>
      </c>
      <c r="H14" s="209">
        <f>G14*0.77</f>
        <v>50050</v>
      </c>
    </row>
    <row r="15" spans="2:10" x14ac:dyDescent="0.3">
      <c r="B15" s="236" t="s">
        <v>14</v>
      </c>
      <c r="C15" s="349" t="s">
        <v>265</v>
      </c>
      <c r="D15" s="350"/>
      <c r="E15" s="351"/>
      <c r="F15" s="227" t="s">
        <v>15</v>
      </c>
      <c r="G15" s="126"/>
      <c r="H15" s="89">
        <f>IF(ISNUMBER(G15),G15*0.7,0)</f>
        <v>0</v>
      </c>
    </row>
    <row r="16" spans="2:10" ht="16.2" thickBot="1" x14ac:dyDescent="0.35">
      <c r="B16" s="236" t="s">
        <v>16</v>
      </c>
      <c r="C16" s="349" t="s">
        <v>270</v>
      </c>
      <c r="D16" s="363"/>
      <c r="E16" s="351"/>
      <c r="F16" s="227" t="s">
        <v>132</v>
      </c>
      <c r="G16" s="126"/>
      <c r="H16" s="89"/>
    </row>
    <row r="17" spans="2:9" ht="16.2" thickBot="1" x14ac:dyDescent="0.35">
      <c r="B17" s="239" t="s">
        <v>18</v>
      </c>
      <c r="C17" s="237" t="s">
        <v>19</v>
      </c>
      <c r="D17" s="240" t="str">
        <f>IF(C17=G45,"Montant","")</f>
        <v/>
      </c>
      <c r="E17" s="238"/>
      <c r="F17" s="227" t="s">
        <v>17</v>
      </c>
      <c r="G17" s="240"/>
      <c r="H17" s="89"/>
    </row>
    <row r="18" spans="2:9" ht="4.95" customHeight="1" thickBot="1" x14ac:dyDescent="0.35"/>
    <row r="19" spans="2:9" ht="16.2" thickBot="1" x14ac:dyDescent="0.35">
      <c r="B19" s="2" t="s">
        <v>21</v>
      </c>
      <c r="C19" s="352" t="s">
        <v>22</v>
      </c>
      <c r="D19" s="352"/>
      <c r="E19" s="353"/>
      <c r="F19" s="222" t="s">
        <v>23</v>
      </c>
      <c r="G19" s="220" t="s">
        <v>24</v>
      </c>
      <c r="H19" s="223" t="s">
        <v>25</v>
      </c>
    </row>
    <row r="20" spans="2:9" x14ac:dyDescent="0.3">
      <c r="B20" s="3" t="s">
        <v>26</v>
      </c>
      <c r="C20" s="350" t="s">
        <v>51</v>
      </c>
      <c r="D20" s="350"/>
      <c r="E20" s="354"/>
      <c r="F20" s="148" t="s">
        <v>10</v>
      </c>
      <c r="G20" s="125"/>
      <c r="H20" s="149">
        <f>550*12</f>
        <v>6600</v>
      </c>
    </row>
    <row r="21" spans="2:9" ht="16.2" customHeight="1" x14ac:dyDescent="0.3">
      <c r="B21" s="3" t="s">
        <v>28</v>
      </c>
      <c r="C21" s="350"/>
      <c r="D21" s="350"/>
      <c r="E21" s="354"/>
      <c r="F21" s="147" t="s">
        <v>29</v>
      </c>
      <c r="G21" s="19"/>
      <c r="H21" s="89">
        <f>G21*0.8</f>
        <v>0</v>
      </c>
    </row>
    <row r="22" spans="2:9" ht="16.2" customHeight="1" thickBot="1" x14ac:dyDescent="0.35">
      <c r="B22" s="146" t="s">
        <v>30</v>
      </c>
      <c r="C22" s="361"/>
      <c r="D22" s="361"/>
      <c r="E22" s="362"/>
      <c r="F22" s="17" t="s">
        <v>260</v>
      </c>
      <c r="G22" s="127"/>
      <c r="H22" s="150">
        <v>0</v>
      </c>
    </row>
    <row r="23" spans="2:9" ht="17.7" customHeight="1" thickBot="1" x14ac:dyDescent="0.35">
      <c r="B23" s="146" t="s">
        <v>240</v>
      </c>
      <c r="C23" s="361"/>
      <c r="D23" s="361"/>
      <c r="E23" s="362"/>
      <c r="F23" s="375" t="s">
        <v>31</v>
      </c>
      <c r="G23" s="376"/>
      <c r="H23" s="243">
        <f>SUM(H8:H11)+SUM(H14:H17)+SUM(H20:H21)-H22</f>
        <v>118250</v>
      </c>
    </row>
    <row r="24" spans="2:9" ht="3" customHeight="1" thickBot="1" x14ac:dyDescent="0.35">
      <c r="B24" s="146"/>
      <c r="C24" s="361"/>
      <c r="D24" s="361"/>
      <c r="E24" s="362"/>
      <c r="F24" s="241"/>
      <c r="G24" s="241"/>
      <c r="H24" s="242"/>
    </row>
    <row r="25" spans="2:9" ht="15" customHeight="1" thickBot="1" x14ac:dyDescent="0.35">
      <c r="B25" s="355" t="s">
        <v>32</v>
      </c>
      <c r="C25" s="356"/>
      <c r="D25" s="356"/>
      <c r="E25" s="356"/>
      <c r="F25" s="356"/>
      <c r="G25" s="356"/>
      <c r="H25" s="357"/>
      <c r="I25" s="244"/>
    </row>
    <row r="26" spans="2:9" ht="60" customHeight="1" thickBot="1" x14ac:dyDescent="0.35">
      <c r="B26" s="245" t="s">
        <v>33</v>
      </c>
      <c r="C26" s="368"/>
      <c r="D26" s="369"/>
      <c r="E26" s="370"/>
      <c r="F26" s="245" t="s">
        <v>34</v>
      </c>
      <c r="G26" s="373"/>
      <c r="H26" s="374"/>
    </row>
    <row r="27" spans="2:9" ht="42" customHeight="1" thickBot="1" x14ac:dyDescent="0.35">
      <c r="B27" s="245" t="s">
        <v>224</v>
      </c>
      <c r="C27" s="364"/>
      <c r="D27" s="364"/>
      <c r="E27" s="365"/>
      <c r="F27" s="321" t="s">
        <v>261</v>
      </c>
      <c r="G27" s="366"/>
      <c r="H27" s="367"/>
    </row>
    <row r="28" spans="2:9" ht="16.2" thickBot="1" x14ac:dyDescent="0.35">
      <c r="B28" s="355" t="s">
        <v>35</v>
      </c>
      <c r="C28" s="356"/>
      <c r="D28" s="356"/>
      <c r="E28" s="357"/>
      <c r="F28" s="355" t="s">
        <v>36</v>
      </c>
      <c r="G28" s="356"/>
      <c r="H28" s="357"/>
    </row>
    <row r="29" spans="2:9" ht="4.95" customHeight="1" thickBot="1" x14ac:dyDescent="0.35"/>
    <row r="30" spans="2:9" ht="16.2" thickBot="1" x14ac:dyDescent="0.35">
      <c r="B30" s="222" t="s">
        <v>37</v>
      </c>
      <c r="C30" s="228" t="s">
        <v>223</v>
      </c>
      <c r="D30" s="339" t="s">
        <v>38</v>
      </c>
      <c r="E30" s="340"/>
      <c r="F30" s="93" t="s">
        <v>39</v>
      </c>
      <c r="G30" s="128">
        <f>'Impôt 2021 revenus 2020'!C8</f>
        <v>106685</v>
      </c>
      <c r="H30" s="224" t="s">
        <v>40</v>
      </c>
    </row>
    <row r="31" spans="2:9" ht="16.2" thickBot="1" x14ac:dyDescent="0.35">
      <c r="B31" s="90" t="s">
        <v>266</v>
      </c>
      <c r="C31" s="229" t="s">
        <v>268</v>
      </c>
      <c r="D31" s="337"/>
      <c r="E31" s="338"/>
      <c r="F31" s="232" t="s">
        <v>41</v>
      </c>
      <c r="G31" s="89">
        <f>'Impôt 2021 revenus 2020'!D14</f>
        <v>16665.18</v>
      </c>
      <c r="H31" s="143">
        <f>IF(AND(OR(C19="Marié",C19="Pacsé"),'Calcul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2'!D34,0%)))),IF(AND(OR(C19="Célibataire",C19="Divorcé",C19="Veuf",C19="Concubinage"),'Calcul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32" spans="2:9" ht="16.2" thickBot="1" x14ac:dyDescent="0.35">
      <c r="B32" s="91" t="s">
        <v>267</v>
      </c>
      <c r="C32" s="230" t="s">
        <v>269</v>
      </c>
      <c r="D32" s="335"/>
      <c r="E32" s="336"/>
      <c r="F32" s="232" t="s">
        <v>42</v>
      </c>
      <c r="G32" s="89">
        <f>H20*0.172</f>
        <v>1135.1999999999998</v>
      </c>
      <c r="H32" s="224" t="s">
        <v>43</v>
      </c>
    </row>
    <row r="33" spans="2:11" ht="16.2" thickBot="1" x14ac:dyDescent="0.35">
      <c r="B33" s="91"/>
      <c r="C33" s="230"/>
      <c r="D33" s="335"/>
      <c r="E33" s="336"/>
      <c r="F33" s="232" t="s">
        <v>44</v>
      </c>
      <c r="G33" s="129"/>
      <c r="H33" s="247">
        <f>IF(G31/G30&lt;0,0,G31/G30)</f>
        <v>0.15620921404133664</v>
      </c>
    </row>
    <row r="34" spans="2:11" ht="16.2" thickBot="1" x14ac:dyDescent="0.35">
      <c r="B34" s="92"/>
      <c r="C34" s="231"/>
      <c r="D34" s="333"/>
      <c r="E34" s="334"/>
      <c r="F34" s="232" t="s">
        <v>45</v>
      </c>
      <c r="G34" s="130"/>
      <c r="H34" s="132"/>
    </row>
    <row r="35" spans="2:11" ht="16.2" thickBot="1" x14ac:dyDescent="0.35">
      <c r="B35" s="141" t="s">
        <v>46</v>
      </c>
      <c r="C35" s="142">
        <v>2</v>
      </c>
      <c r="D35" s="133"/>
      <c r="F35" s="137" t="s">
        <v>47</v>
      </c>
      <c r="G35" s="138"/>
    </row>
    <row r="36" spans="2:11" ht="6" customHeight="1" thickBot="1" x14ac:dyDescent="0.35">
      <c r="B36" s="133"/>
      <c r="C36" s="134"/>
      <c r="D36" s="133"/>
      <c r="F36" s="139"/>
      <c r="G36" s="140"/>
    </row>
    <row r="37" spans="2:11" ht="12.45" customHeight="1" thickBot="1" x14ac:dyDescent="0.35">
      <c r="B37" s="341" t="s">
        <v>48</v>
      </c>
      <c r="C37" s="342"/>
      <c r="D37" s="342"/>
      <c r="E37" s="342"/>
      <c r="F37" s="342"/>
      <c r="G37" s="342"/>
      <c r="H37" s="342"/>
      <c r="I37" s="15"/>
      <c r="J37" s="15"/>
      <c r="K37" s="15"/>
    </row>
    <row r="40" spans="2:11" hidden="1" x14ac:dyDescent="0.3"/>
    <row r="41" spans="2:11" hidden="1" x14ac:dyDescent="0.3">
      <c r="B41">
        <v>0</v>
      </c>
      <c r="C41" t="s">
        <v>49</v>
      </c>
    </row>
    <row r="42" spans="2:11" ht="15.45" hidden="1" customHeight="1" x14ac:dyDescent="0.3">
      <c r="B42">
        <v>1</v>
      </c>
      <c r="C42" t="s">
        <v>50</v>
      </c>
      <c r="D42" t="s">
        <v>51</v>
      </c>
      <c r="G42" t="s">
        <v>52</v>
      </c>
    </row>
    <row r="43" spans="2:11" ht="15.45" hidden="1" customHeight="1" x14ac:dyDescent="0.3">
      <c r="B43">
        <v>2</v>
      </c>
      <c r="D43" t="s">
        <v>53</v>
      </c>
      <c r="G43" t="s">
        <v>54</v>
      </c>
    </row>
    <row r="44" spans="2:11" ht="15.45" hidden="1" customHeight="1" x14ac:dyDescent="0.3">
      <c r="B44">
        <v>3</v>
      </c>
      <c r="D44" t="s">
        <v>27</v>
      </c>
    </row>
    <row r="45" spans="2:11" ht="15.45" hidden="1" customHeight="1" x14ac:dyDescent="0.3">
      <c r="B45">
        <v>4</v>
      </c>
      <c r="D45" t="s">
        <v>55</v>
      </c>
      <c r="G45" t="s">
        <v>56</v>
      </c>
    </row>
    <row r="46" spans="2:11" ht="15.45" hidden="1" customHeight="1" x14ac:dyDescent="0.3">
      <c r="B46">
        <v>5</v>
      </c>
      <c r="D46" t="s">
        <v>57</v>
      </c>
      <c r="G46" s="225" t="str">
        <f>"10%"</f>
        <v>10%</v>
      </c>
    </row>
    <row r="47" spans="2:11" ht="15.45" hidden="1" customHeight="1" x14ac:dyDescent="0.3">
      <c r="B47">
        <v>6</v>
      </c>
      <c r="D47" t="s">
        <v>58</v>
      </c>
    </row>
    <row r="48" spans="2:11" ht="15.45" hidden="1" customHeight="1" x14ac:dyDescent="0.3">
      <c r="B48">
        <v>7</v>
      </c>
      <c r="D48" t="s">
        <v>59</v>
      </c>
    </row>
    <row r="49" spans="2:2" ht="15.45" hidden="1" customHeight="1" x14ac:dyDescent="0.3">
      <c r="B49">
        <v>8</v>
      </c>
    </row>
    <row r="50" spans="2:2" ht="15.45" hidden="1" customHeight="1" x14ac:dyDescent="0.3">
      <c r="B50">
        <v>9</v>
      </c>
    </row>
    <row r="51" spans="2:2" ht="15.45" hidden="1" customHeight="1" x14ac:dyDescent="0.3">
      <c r="B51">
        <v>10</v>
      </c>
    </row>
    <row r="52" spans="2:2" ht="15.45" customHeight="1" x14ac:dyDescent="0.3"/>
    <row r="53" spans="2:2" ht="15.45" customHeight="1" x14ac:dyDescent="0.3"/>
    <row r="54" spans="2:2" ht="15.45" customHeight="1" x14ac:dyDescent="0.3"/>
    <row r="55" spans="2:2" ht="15.45" customHeight="1" x14ac:dyDescent="0.3"/>
    <row r="56" spans="2:2" ht="15.45" customHeight="1" x14ac:dyDescent="0.3"/>
    <row r="57" spans="2:2" ht="15.45" customHeight="1" x14ac:dyDescent="0.3"/>
    <row r="58" spans="2:2" ht="15.45" customHeight="1" x14ac:dyDescent="0.3"/>
    <row r="59" spans="2:2" ht="15.45" customHeight="1" x14ac:dyDescent="0.3"/>
    <row r="60" spans="2:2" ht="15.45" customHeight="1" x14ac:dyDescent="0.3"/>
  </sheetData>
  <mergeCells count="30">
    <mergeCell ref="C27:E27"/>
    <mergeCell ref="G27:H27"/>
    <mergeCell ref="C26:E26"/>
    <mergeCell ref="F5:H5"/>
    <mergeCell ref="G26:H26"/>
    <mergeCell ref="B25:H25"/>
    <mergeCell ref="F23:G23"/>
    <mergeCell ref="C23:E23"/>
    <mergeCell ref="C24:E24"/>
    <mergeCell ref="B37:H37"/>
    <mergeCell ref="B2:H3"/>
    <mergeCell ref="C15:E15"/>
    <mergeCell ref="C19:E19"/>
    <mergeCell ref="C20:E20"/>
    <mergeCell ref="F28:H28"/>
    <mergeCell ref="C7:E7"/>
    <mergeCell ref="C8:E8"/>
    <mergeCell ref="C9:E9"/>
    <mergeCell ref="C13:E13"/>
    <mergeCell ref="C14:E14"/>
    <mergeCell ref="C22:E22"/>
    <mergeCell ref="C10:E10"/>
    <mergeCell ref="C21:E21"/>
    <mergeCell ref="C16:E16"/>
    <mergeCell ref="B28:E28"/>
    <mergeCell ref="D34:E34"/>
    <mergeCell ref="D33:E33"/>
    <mergeCell ref="D32:E32"/>
    <mergeCell ref="D31:E31"/>
    <mergeCell ref="D30:E30"/>
  </mergeCells>
  <dataValidations count="6">
    <dataValidation type="list" allowBlank="1" showInputMessage="1" showErrorMessage="1" sqref="C20:E20" xr:uid="{F47CBD30-AC04-4E07-BC58-9C727FCBA355}">
      <formula1>$D$42:$D$49</formula1>
    </dataValidation>
    <dataValidation type="list" allowBlank="1" showInputMessage="1" showErrorMessage="1" promptTitle="Communauté" sqref="C19:E19" xr:uid="{4D4787BC-6A97-47E6-B9D6-7346B30B07E8}">
      <formula1>"Célibataire,Concubinage,Divorcé,Veuf,Marié,Pacsé"</formula1>
    </dataValidation>
    <dataValidation type="list" allowBlank="1" showInputMessage="1" showErrorMessage="1" sqref="F20" xr:uid="{B5A9C45F-3029-4ACA-B2A9-2A7A8780628B}">
      <formula1>$J$7:$J$8</formula1>
    </dataValidation>
    <dataValidation type="list" allowBlank="1" showInputMessage="1" showErrorMessage="1" sqref="C22:E22" xr:uid="{F91AA10A-2D56-43B5-87E1-EE890EFFD3DC}">
      <formula1>$C$41:$C$43</formula1>
    </dataValidation>
    <dataValidation type="list" allowBlank="1" showInputMessage="1" showErrorMessage="1" sqref="C35" xr:uid="{B62B7896-C42E-47FE-A026-CE9114D87D9C}">
      <formula1>$B$39:$B$49</formula1>
    </dataValidation>
    <dataValidation type="list" allowBlank="1" showInputMessage="1" showErrorMessage="1" sqref="C11 C17" xr:uid="{75E18A5F-A79B-46C6-BEF8-B52F13AF8AA7}">
      <formula1>$G$45:$G$47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C21:C22 D21:E21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L82"/>
  <sheetViews>
    <sheetView showGridLines="0" zoomScaleNormal="100" workbookViewId="0">
      <selection activeCell="B56" sqref="B56"/>
    </sheetView>
  </sheetViews>
  <sheetFormatPr baseColWidth="10" defaultColWidth="11" defaultRowHeight="15.6" x14ac:dyDescent="0.3"/>
  <cols>
    <col min="1" max="1" width="6.19921875" customWidth="1"/>
    <col min="2" max="2" width="24.19921875" style="4" customWidth="1"/>
    <col min="3" max="3" width="11.69921875" customWidth="1"/>
    <col min="4" max="4" width="12.19921875" customWidth="1"/>
    <col min="5" max="5" width="14" customWidth="1"/>
    <col min="6" max="6" width="14.8984375" customWidth="1"/>
    <col min="7" max="7" width="14.19921875" customWidth="1"/>
    <col min="8" max="8" width="11.8984375" customWidth="1"/>
    <col min="9" max="9" width="15.59765625" customWidth="1"/>
    <col min="10" max="10" width="10.19921875" customWidth="1"/>
    <col min="11" max="11" width="11.69921875" customWidth="1"/>
    <col min="12" max="12" width="13.19921875" customWidth="1"/>
  </cols>
  <sheetData>
    <row r="1" spans="2:12" ht="3" customHeight="1" thickBot="1" x14ac:dyDescent="0.35"/>
    <row r="2" spans="2:12" ht="19.95" customHeight="1" x14ac:dyDescent="0.3">
      <c r="B2" s="382" t="s">
        <v>60</v>
      </c>
      <c r="C2" s="383"/>
      <c r="D2" s="383"/>
      <c r="E2" s="383"/>
      <c r="F2" s="383"/>
      <c r="G2" s="383"/>
      <c r="H2" s="383"/>
      <c r="I2" s="383"/>
      <c r="J2" s="383"/>
      <c r="K2" s="383"/>
      <c r="L2" s="384"/>
    </row>
    <row r="3" spans="2:12" ht="19.95" customHeight="1" thickBot="1" x14ac:dyDescent="0.35">
      <c r="B3" s="385"/>
      <c r="C3" s="386"/>
      <c r="D3" s="386"/>
      <c r="E3" s="386"/>
      <c r="F3" s="386"/>
      <c r="G3" s="386"/>
      <c r="H3" s="386"/>
      <c r="I3" s="386"/>
      <c r="J3" s="386"/>
      <c r="K3" s="386"/>
      <c r="L3" s="387"/>
    </row>
    <row r="4" spans="2:12" ht="4.2" customHeight="1" thickBot="1" x14ac:dyDescent="0.35">
      <c r="C4" s="255"/>
      <c r="D4" s="255"/>
      <c r="E4" s="255"/>
      <c r="F4" s="255"/>
      <c r="G4" s="255"/>
      <c r="H4" s="255"/>
      <c r="I4" s="255"/>
      <c r="J4" s="255"/>
      <c r="K4" s="255"/>
      <c r="L4" s="255"/>
    </row>
    <row r="5" spans="2:12" ht="16.2" thickBot="1" x14ac:dyDescent="0.35">
      <c r="B5" s="417" t="s">
        <v>61</v>
      </c>
      <c r="C5" s="418"/>
      <c r="D5" s="418"/>
      <c r="E5" s="418"/>
      <c r="F5" s="418"/>
      <c r="G5" s="418"/>
      <c r="H5" s="418"/>
      <c r="I5" s="418"/>
      <c r="J5" s="418"/>
      <c r="K5" s="418"/>
      <c r="L5" s="419"/>
    </row>
    <row r="6" spans="2:12" ht="3" customHeight="1" thickBot="1" x14ac:dyDescent="0.35">
      <c r="C6" s="255"/>
      <c r="D6" s="255"/>
      <c r="E6" s="255"/>
      <c r="F6" s="255"/>
      <c r="G6" s="255"/>
      <c r="H6" s="255"/>
      <c r="I6" s="255"/>
      <c r="J6" s="255"/>
      <c r="K6" s="255"/>
      <c r="L6" s="255"/>
    </row>
    <row r="7" spans="2:12" ht="16.95" customHeight="1" thickBot="1" x14ac:dyDescent="0.35">
      <c r="B7" s="420" t="s">
        <v>62</v>
      </c>
      <c r="C7" s="402" t="s">
        <v>63</v>
      </c>
      <c r="D7" s="403"/>
      <c r="E7" s="215" t="s">
        <v>64</v>
      </c>
      <c r="F7" s="215" t="s">
        <v>252</v>
      </c>
      <c r="G7" s="215" t="s">
        <v>251</v>
      </c>
      <c r="H7" s="215" t="s">
        <v>225</v>
      </c>
      <c r="I7" s="215" t="s">
        <v>78</v>
      </c>
      <c r="J7" s="215" t="s">
        <v>67</v>
      </c>
      <c r="K7" s="403" t="s">
        <v>68</v>
      </c>
      <c r="L7" s="426"/>
    </row>
    <row r="8" spans="2:12" ht="16.95" customHeight="1" thickBot="1" x14ac:dyDescent="0.35">
      <c r="B8" s="421"/>
      <c r="C8" s="422" t="s">
        <v>283</v>
      </c>
      <c r="D8" s="423"/>
      <c r="E8" s="260"/>
      <c r="F8" s="259"/>
      <c r="G8" s="259">
        <v>300000</v>
      </c>
      <c r="H8" s="259"/>
      <c r="I8" s="322"/>
      <c r="J8" s="297"/>
      <c r="K8" s="424">
        <v>0</v>
      </c>
      <c r="L8" s="425"/>
    </row>
    <row r="9" spans="2:12" ht="3" customHeight="1" thickBot="1" x14ac:dyDescent="0.35">
      <c r="B9" s="248"/>
      <c r="C9" s="258"/>
      <c r="D9" s="261"/>
      <c r="E9" s="262"/>
      <c r="F9" s="262"/>
      <c r="G9" s="262"/>
      <c r="H9" s="263"/>
      <c r="I9" s="263"/>
      <c r="J9" s="264"/>
      <c r="K9" s="264"/>
      <c r="L9" s="255"/>
    </row>
    <row r="10" spans="2:12" ht="16.95" customHeight="1" thickBot="1" x14ac:dyDescent="0.35">
      <c r="B10" s="417" t="s">
        <v>69</v>
      </c>
      <c r="C10" s="418"/>
      <c r="D10" s="418"/>
      <c r="E10" s="418"/>
      <c r="F10" s="418"/>
      <c r="G10" s="418"/>
      <c r="H10" s="418"/>
      <c r="I10" s="418"/>
      <c r="J10" s="418"/>
      <c r="K10" s="418"/>
      <c r="L10" s="419"/>
    </row>
    <row r="11" spans="2:12" ht="16.2" thickBot="1" x14ac:dyDescent="0.35">
      <c r="B11" s="394" t="s">
        <v>70</v>
      </c>
      <c r="C11" s="431"/>
      <c r="D11" s="215" t="s">
        <v>252</v>
      </c>
      <c r="E11" s="215" t="s">
        <v>64</v>
      </c>
      <c r="F11" s="215" t="s">
        <v>251</v>
      </c>
      <c r="G11" s="215" t="s">
        <v>78</v>
      </c>
      <c r="H11" s="215" t="s">
        <v>71</v>
      </c>
      <c r="I11" s="215" t="s">
        <v>225</v>
      </c>
      <c r="J11" s="215" t="s">
        <v>72</v>
      </c>
      <c r="K11" s="215" t="s">
        <v>73</v>
      </c>
      <c r="L11" s="216" t="s">
        <v>74</v>
      </c>
    </row>
    <row r="12" spans="2:12" ht="3" customHeight="1" thickBot="1" x14ac:dyDescent="0.35">
      <c r="C12" s="255"/>
      <c r="D12" s="255"/>
      <c r="E12" s="255"/>
      <c r="F12" s="255"/>
      <c r="G12" s="255"/>
      <c r="H12" s="255"/>
      <c r="I12" s="255"/>
      <c r="J12" s="255"/>
      <c r="K12" s="255"/>
      <c r="L12" s="255"/>
    </row>
    <row r="13" spans="2:12" x14ac:dyDescent="0.3">
      <c r="B13" s="429" t="s">
        <v>284</v>
      </c>
      <c r="C13" s="430"/>
      <c r="D13" s="265"/>
      <c r="E13" s="266"/>
      <c r="F13" s="265">
        <v>280000</v>
      </c>
      <c r="G13" s="323"/>
      <c r="H13" s="267"/>
      <c r="I13" s="267">
        <v>175000</v>
      </c>
      <c r="J13" s="268">
        <v>1800</v>
      </c>
      <c r="K13" s="268">
        <v>1800</v>
      </c>
      <c r="L13" s="269">
        <f>1800*12/F13</f>
        <v>7.7142857142857138E-2</v>
      </c>
    </row>
    <row r="14" spans="2:12" hidden="1" x14ac:dyDescent="0.3">
      <c r="B14" s="427"/>
      <c r="C14" s="428"/>
      <c r="D14" s="270"/>
      <c r="E14" s="271"/>
      <c r="F14" s="270"/>
      <c r="G14" s="270"/>
      <c r="H14" s="254"/>
      <c r="I14" s="254"/>
      <c r="J14" s="272"/>
      <c r="K14" s="273"/>
      <c r="L14" s="274" t="str">
        <f>IF(ISBLANK(D14),"",K14*12/D14)</f>
        <v/>
      </c>
    </row>
    <row r="15" spans="2:12" hidden="1" x14ac:dyDescent="0.3">
      <c r="B15" s="427"/>
      <c r="C15" s="428"/>
      <c r="D15" s="270"/>
      <c r="E15" s="271"/>
      <c r="F15" s="270"/>
      <c r="G15" s="270"/>
      <c r="H15" s="254"/>
      <c r="I15" s="254"/>
      <c r="J15" s="272"/>
      <c r="K15" s="273"/>
      <c r="L15" s="274" t="str">
        <f>IF(ISBLANK(D15),"",K15*12/D15)</f>
        <v/>
      </c>
    </row>
    <row r="16" spans="2:12" ht="16.2" thickBot="1" x14ac:dyDescent="0.35">
      <c r="B16" s="434"/>
      <c r="C16" s="435"/>
      <c r="D16" s="275"/>
      <c r="E16" s="276"/>
      <c r="F16" s="275"/>
      <c r="G16" s="275"/>
      <c r="H16" s="277"/>
      <c r="I16" s="277"/>
      <c r="J16" s="278"/>
      <c r="K16" s="278"/>
      <c r="L16" s="279" t="str">
        <f>IF(ISBLANK(D16),"",K16*12/D16)</f>
        <v/>
      </c>
    </row>
    <row r="17" spans="2:12" ht="2.7" customHeight="1" thickBot="1" x14ac:dyDescent="0.35">
      <c r="C17" s="255"/>
      <c r="D17" s="255"/>
      <c r="E17" s="255"/>
      <c r="F17" s="255"/>
      <c r="G17" s="255"/>
      <c r="H17" s="255"/>
      <c r="I17" s="255"/>
      <c r="J17" s="255"/>
      <c r="K17" s="255"/>
      <c r="L17" s="255"/>
    </row>
    <row r="18" spans="2:12" ht="16.2" customHeight="1" thickBot="1" x14ac:dyDescent="0.35">
      <c r="B18" s="417" t="s">
        <v>75</v>
      </c>
      <c r="C18" s="418"/>
      <c r="D18" s="418"/>
      <c r="E18" s="418"/>
      <c r="F18" s="418"/>
      <c r="G18" s="418"/>
      <c r="H18" s="418"/>
      <c r="I18" s="418"/>
      <c r="J18" s="418"/>
      <c r="K18" s="418"/>
      <c r="L18" s="419"/>
    </row>
    <row r="19" spans="2:12" ht="2.7" customHeight="1" thickBot="1" x14ac:dyDescent="0.35">
      <c r="C19" s="255"/>
      <c r="D19" s="255"/>
      <c r="E19" s="255"/>
      <c r="F19" s="255"/>
      <c r="G19" s="255"/>
      <c r="H19" s="255"/>
      <c r="I19" s="255"/>
      <c r="J19" s="255"/>
      <c r="K19" s="255"/>
      <c r="L19" s="255"/>
    </row>
    <row r="20" spans="2:12" ht="16.2" customHeight="1" thickBot="1" x14ac:dyDescent="0.35">
      <c r="B20" s="402" t="s">
        <v>76</v>
      </c>
      <c r="C20" s="403"/>
      <c r="D20" s="215" t="s">
        <v>77</v>
      </c>
      <c r="E20" s="215" t="s">
        <v>71</v>
      </c>
      <c r="F20" s="215" t="s">
        <v>225</v>
      </c>
      <c r="G20" s="215" t="s">
        <v>78</v>
      </c>
      <c r="H20" s="215" t="s">
        <v>72</v>
      </c>
      <c r="I20" s="442" t="s">
        <v>38</v>
      </c>
      <c r="J20" s="410"/>
      <c r="K20" s="410"/>
      <c r="L20" s="395"/>
    </row>
    <row r="21" spans="2:12" ht="3" customHeight="1" thickBot="1" x14ac:dyDescent="0.35">
      <c r="C21" s="255"/>
      <c r="D21" s="255"/>
      <c r="E21" s="255"/>
      <c r="F21" s="255"/>
      <c r="G21" s="255"/>
      <c r="H21" s="255"/>
      <c r="I21" s="255"/>
      <c r="J21" s="255"/>
      <c r="K21" s="255"/>
      <c r="L21" s="255"/>
    </row>
    <row r="22" spans="2:12" ht="16.2" customHeight="1" x14ac:dyDescent="0.3">
      <c r="B22" s="406"/>
      <c r="C22" s="407"/>
      <c r="D22" s="265"/>
      <c r="E22" s="266"/>
      <c r="F22" s="267"/>
      <c r="G22" s="267"/>
      <c r="H22" s="268"/>
      <c r="I22" s="443"/>
      <c r="J22" s="444"/>
      <c r="K22" s="444"/>
      <c r="L22" s="445"/>
    </row>
    <row r="23" spans="2:12" ht="16.2" hidden="1" customHeight="1" x14ac:dyDescent="0.3">
      <c r="B23" s="408"/>
      <c r="C23" s="409"/>
      <c r="D23" s="280"/>
      <c r="E23" s="281"/>
      <c r="F23" s="282"/>
      <c r="G23" s="282"/>
      <c r="H23" s="283"/>
      <c r="I23" s="283"/>
      <c r="J23" s="432"/>
      <c r="K23" s="432"/>
      <c r="L23" s="433"/>
    </row>
    <row r="24" spans="2:12" ht="16.2" customHeight="1" thickBot="1" x14ac:dyDescent="0.35">
      <c r="B24" s="404"/>
      <c r="C24" s="405"/>
      <c r="D24" s="275"/>
      <c r="E24" s="276"/>
      <c r="F24" s="277"/>
      <c r="G24" s="277"/>
      <c r="H24" s="278"/>
      <c r="I24" s="446"/>
      <c r="J24" s="447"/>
      <c r="K24" s="447"/>
      <c r="L24" s="448"/>
    </row>
    <row r="25" spans="2:12" ht="4.95" customHeight="1" thickBot="1" x14ac:dyDescent="0.35"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</row>
    <row r="26" spans="2:12" ht="16.2" thickBot="1" x14ac:dyDescent="0.35">
      <c r="B26" s="417" t="s">
        <v>79</v>
      </c>
      <c r="C26" s="418"/>
      <c r="D26" s="418"/>
      <c r="E26" s="418"/>
      <c r="F26" s="418"/>
      <c r="G26" s="418"/>
      <c r="H26" s="418"/>
      <c r="I26" s="418"/>
      <c r="J26" s="418"/>
      <c r="K26" s="418"/>
      <c r="L26" s="419"/>
    </row>
    <row r="27" spans="2:12" ht="6" customHeight="1" thickBot="1" x14ac:dyDescent="0.35">
      <c r="C27" s="255"/>
      <c r="D27" s="255"/>
      <c r="E27" s="255"/>
      <c r="F27" s="255"/>
      <c r="G27" s="255"/>
      <c r="H27" s="255"/>
      <c r="I27" s="255"/>
      <c r="J27" s="255"/>
      <c r="K27" s="255"/>
      <c r="L27" s="255"/>
    </row>
    <row r="28" spans="2:12" ht="16.2" thickBot="1" x14ac:dyDescent="0.35">
      <c r="B28" s="394" t="s">
        <v>80</v>
      </c>
      <c r="C28" s="410"/>
      <c r="D28" s="284" t="s">
        <v>77</v>
      </c>
      <c r="E28" s="284" t="s">
        <v>81</v>
      </c>
      <c r="F28" s="215" t="s">
        <v>66</v>
      </c>
      <c r="G28" s="284" t="s">
        <v>78</v>
      </c>
      <c r="H28" s="284" t="s">
        <v>67</v>
      </c>
      <c r="I28" s="284"/>
      <c r="J28" s="215" t="s">
        <v>72</v>
      </c>
      <c r="K28" s="215" t="s">
        <v>73</v>
      </c>
      <c r="L28" s="216" t="s">
        <v>74</v>
      </c>
    </row>
    <row r="29" spans="2:12" ht="4.95" customHeight="1" thickBot="1" x14ac:dyDescent="0.35">
      <c r="C29" s="255"/>
      <c r="D29" s="255"/>
      <c r="E29" s="255"/>
      <c r="F29" s="255"/>
      <c r="G29" s="255"/>
      <c r="H29" s="255"/>
      <c r="I29" s="255"/>
      <c r="J29" s="255"/>
      <c r="K29" s="255"/>
      <c r="L29" s="255"/>
    </row>
    <row r="30" spans="2:12" ht="16.95" customHeight="1" x14ac:dyDescent="0.3">
      <c r="B30" s="413"/>
      <c r="C30" s="414"/>
      <c r="D30" s="285"/>
      <c r="E30" s="285"/>
      <c r="F30" s="285"/>
      <c r="G30" s="285"/>
      <c r="H30" s="285"/>
      <c r="I30" s="285"/>
      <c r="J30" s="286"/>
      <c r="K30" s="287"/>
      <c r="L30" s="288" t="str">
        <f>IF(ISBLANK(B30),"",(K30*12)/D30)</f>
        <v/>
      </c>
    </row>
    <row r="31" spans="2:12" ht="16.95" customHeight="1" thickBot="1" x14ac:dyDescent="0.35">
      <c r="B31" s="411"/>
      <c r="C31" s="412"/>
      <c r="D31" s="278"/>
      <c r="E31" s="278"/>
      <c r="F31" s="278"/>
      <c r="G31" s="278"/>
      <c r="H31" s="278"/>
      <c r="I31" s="278"/>
      <c r="J31" s="275"/>
      <c r="K31" s="289"/>
      <c r="L31" s="290" t="str">
        <f>IF(ISBLANK(B31),"",(K31*12)/D31)</f>
        <v/>
      </c>
    </row>
    <row r="32" spans="2:12" ht="4.2" customHeight="1" x14ac:dyDescent="0.3">
      <c r="C32" s="255"/>
      <c r="D32" s="255"/>
      <c r="E32" s="255"/>
      <c r="F32" s="255"/>
      <c r="G32" s="255"/>
      <c r="H32" s="255"/>
      <c r="I32" s="255"/>
      <c r="J32" s="255"/>
      <c r="K32" s="255"/>
      <c r="L32" s="255"/>
    </row>
    <row r="33" spans="2:12" ht="20.7" customHeight="1" x14ac:dyDescent="0.3">
      <c r="B33" s="401" t="s">
        <v>82</v>
      </c>
      <c r="C33" s="401"/>
      <c r="D33" s="415">
        <f>MAX(0,IF('Etat Civil'!H23=0,0,(SUM(K8,J13:J16,H22:H24))/((SUM(K13:K16)*0.8)+(('Etat Civil'!H23+'Etat Civil'!G22-'Etat Civil'!H22-'Etat Civil'!H20-'Etat Civil'!H21)/12))))</f>
        <v>0.16753276972000311</v>
      </c>
      <c r="E33" s="416"/>
      <c r="F33" s="401" t="str">
        <f>IF(AND(ISBLANK(B30),ISBLANK(B31)),"","TAUX D'ENDETTEMENT SI PROJET")</f>
        <v/>
      </c>
      <c r="G33" s="401"/>
      <c r="H33" s="401"/>
      <c r="I33" s="401"/>
      <c r="J33" s="401"/>
      <c r="K33" s="415" t="str">
        <f>IF(AND(ISBLANK(B30),ISBLANK(B31)),"",MAX(0,IF('Etat Civil'!H23=0,0,IF(OR(B30="Changement RP",B31="Changement RP"),(SUM(J13:J16,H22:H24,J30:J31))/((SUM(K13:K16,K30:K31)*0.8)+(('Etat Civil'!H23+'Etat Civil'!G22-'Etat Civil'!H22-'Etat Civil'!H20-'Etat Civil'!H21)/12)),(SUM(J13:J16,H22:H24,J30:J31,K8))/((SUM(K13:K16,K30:K31)*0.8)+(('Etat Civil'!H23+'Etat Civil'!G22-'Etat Civil'!H22-'Etat Civil'!H20-'Etat Civil'!H21)/12))))))</f>
        <v/>
      </c>
      <c r="L33" s="415"/>
    </row>
    <row r="34" spans="2:12" ht="4.2" customHeight="1" thickBot="1" x14ac:dyDescent="0.35"/>
    <row r="35" spans="2:12" ht="21" customHeight="1" thickBot="1" x14ac:dyDescent="0.35">
      <c r="B35" s="379" t="s">
        <v>83</v>
      </c>
      <c r="C35" s="381"/>
      <c r="D35" s="306" t="s">
        <v>8</v>
      </c>
      <c r="E35" s="307">
        <f>SUM(D13:D16,F8)</f>
        <v>0</v>
      </c>
      <c r="F35" s="306" t="s">
        <v>9</v>
      </c>
      <c r="G35" s="316"/>
      <c r="H35" s="308">
        <f>SUM(G8,F13)</f>
        <v>580000</v>
      </c>
      <c r="I35" s="316"/>
      <c r="J35" s="379" t="s">
        <v>84</v>
      </c>
      <c r="K35" s="380"/>
      <c r="L35" s="314">
        <f>E35/D70</f>
        <v>0</v>
      </c>
    </row>
    <row r="36" spans="2:12" ht="4.2" customHeight="1" thickBot="1" x14ac:dyDescent="0.35">
      <c r="C36" s="255"/>
      <c r="D36" s="255"/>
      <c r="E36" s="255"/>
      <c r="F36" s="255"/>
      <c r="G36" s="255"/>
      <c r="H36" s="255"/>
      <c r="I36" s="255"/>
      <c r="J36" s="255"/>
      <c r="K36" s="255"/>
      <c r="L36" s="255"/>
    </row>
    <row r="37" spans="2:12" ht="19.95" customHeight="1" x14ac:dyDescent="0.3">
      <c r="B37" s="382" t="s">
        <v>85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4"/>
    </row>
    <row r="38" spans="2:12" ht="19.95" customHeight="1" thickBot="1" x14ac:dyDescent="0.35">
      <c r="B38" s="385"/>
      <c r="C38" s="386"/>
      <c r="D38" s="386"/>
      <c r="E38" s="386"/>
      <c r="F38" s="386"/>
      <c r="G38" s="386"/>
      <c r="H38" s="386"/>
      <c r="I38" s="386"/>
      <c r="J38" s="386"/>
      <c r="K38" s="386"/>
      <c r="L38" s="387"/>
    </row>
    <row r="39" spans="2:12" ht="3" customHeight="1" thickBot="1" x14ac:dyDescent="0.35">
      <c r="B39" s="255"/>
      <c r="C39" s="291"/>
      <c r="D39" s="255"/>
      <c r="E39" s="255"/>
      <c r="F39" s="291"/>
      <c r="G39" s="291"/>
      <c r="H39" s="291"/>
      <c r="I39" s="291"/>
      <c r="J39" s="9"/>
      <c r="K39" s="255"/>
      <c r="L39" s="255"/>
    </row>
    <row r="40" spans="2:12" ht="16.2" thickBot="1" x14ac:dyDescent="0.35">
      <c r="B40" s="212" t="s">
        <v>86</v>
      </c>
      <c r="C40" s="292" t="s">
        <v>87</v>
      </c>
      <c r="D40" s="215" t="s">
        <v>74</v>
      </c>
      <c r="E40" s="215" t="s">
        <v>88</v>
      </c>
      <c r="F40" s="293" t="s">
        <v>89</v>
      </c>
      <c r="G40" s="317" t="s">
        <v>253</v>
      </c>
      <c r="H40" s="294" t="s">
        <v>90</v>
      </c>
      <c r="I40" s="317" t="s">
        <v>254</v>
      </c>
      <c r="J40" s="221" t="s">
        <v>255</v>
      </c>
      <c r="K40" s="394" t="s">
        <v>91</v>
      </c>
      <c r="L40" s="395"/>
    </row>
    <row r="41" spans="2:12" ht="16.2" thickBot="1" x14ac:dyDescent="0.35">
      <c r="B41" s="417" t="s">
        <v>92</v>
      </c>
      <c r="C41" s="418"/>
      <c r="D41" s="418"/>
      <c r="E41" s="418"/>
      <c r="F41" s="418"/>
      <c r="G41" s="418"/>
      <c r="H41" s="418"/>
      <c r="I41" s="418"/>
      <c r="J41" s="418"/>
      <c r="K41" s="418"/>
      <c r="L41" s="418"/>
    </row>
    <row r="42" spans="2:12" ht="16.2" thickBot="1" x14ac:dyDescent="0.35">
      <c r="B42" s="182" t="s">
        <v>280</v>
      </c>
      <c r="C42" s="191">
        <v>55000</v>
      </c>
      <c r="D42" s="249">
        <v>0.02</v>
      </c>
      <c r="E42" s="183">
        <v>1</v>
      </c>
      <c r="F42" s="191">
        <f>C42</f>
        <v>55000</v>
      </c>
      <c r="G42" s="324"/>
      <c r="H42" s="299" t="s">
        <v>281</v>
      </c>
      <c r="I42" s="299"/>
      <c r="J42" s="299"/>
      <c r="K42" s="392"/>
      <c r="L42" s="393"/>
    </row>
    <row r="43" spans="2:12" ht="16.2" hidden="1" thickBot="1" x14ac:dyDescent="0.35">
      <c r="B43" s="185"/>
      <c r="C43" s="193"/>
      <c r="D43" s="250"/>
      <c r="E43" s="186"/>
      <c r="F43" s="191">
        <f t="shared" ref="F43:F51" si="0">C43</f>
        <v>0</v>
      </c>
      <c r="G43" s="324"/>
      <c r="H43" s="300"/>
      <c r="I43" s="300"/>
      <c r="J43" s="300"/>
      <c r="K43" s="390"/>
      <c r="L43" s="391"/>
    </row>
    <row r="44" spans="2:12" ht="16.2" hidden="1" thickBot="1" x14ac:dyDescent="0.35">
      <c r="B44" s="185"/>
      <c r="C44" s="193"/>
      <c r="D44" s="250"/>
      <c r="E44" s="186"/>
      <c r="F44" s="191">
        <f t="shared" si="0"/>
        <v>0</v>
      </c>
      <c r="G44" s="324"/>
      <c r="H44" s="300"/>
      <c r="I44" s="300"/>
      <c r="J44" s="300"/>
      <c r="K44" s="436"/>
      <c r="L44" s="437"/>
    </row>
    <row r="45" spans="2:12" ht="16.2" hidden="1" thickBot="1" x14ac:dyDescent="0.35">
      <c r="B45" s="185"/>
      <c r="C45" s="193"/>
      <c r="D45" s="250"/>
      <c r="E45" s="186"/>
      <c r="F45" s="191">
        <f t="shared" si="0"/>
        <v>0</v>
      </c>
      <c r="G45" s="324"/>
      <c r="H45" s="300"/>
      <c r="I45" s="300"/>
      <c r="J45" s="300"/>
      <c r="K45" s="390"/>
      <c r="L45" s="391"/>
    </row>
    <row r="46" spans="2:12" ht="16.2" hidden="1" thickBot="1" x14ac:dyDescent="0.35">
      <c r="B46" s="303"/>
      <c r="C46" s="256"/>
      <c r="D46" s="305"/>
      <c r="E46" s="298"/>
      <c r="F46" s="191">
        <f t="shared" si="0"/>
        <v>0</v>
      </c>
      <c r="G46" s="324"/>
      <c r="H46" s="302"/>
      <c r="I46" s="302"/>
      <c r="J46" s="302"/>
      <c r="K46" s="436"/>
      <c r="L46" s="437"/>
    </row>
    <row r="47" spans="2:12" ht="16.2" hidden="1" thickBot="1" x14ac:dyDescent="0.35">
      <c r="B47" s="303"/>
      <c r="C47" s="256"/>
      <c r="D47" s="305"/>
      <c r="E47" s="298"/>
      <c r="F47" s="191">
        <f t="shared" si="0"/>
        <v>0</v>
      </c>
      <c r="G47" s="324"/>
      <c r="H47" s="302"/>
      <c r="I47" s="302"/>
      <c r="J47" s="302"/>
      <c r="K47" s="436"/>
      <c r="L47" s="437"/>
    </row>
    <row r="48" spans="2:12" ht="16.2" thickBot="1" x14ac:dyDescent="0.35">
      <c r="B48" s="303" t="s">
        <v>130</v>
      </c>
      <c r="C48" s="256">
        <v>6500</v>
      </c>
      <c r="D48" s="305">
        <v>0</v>
      </c>
      <c r="E48" s="298">
        <v>1</v>
      </c>
      <c r="F48" s="191">
        <f t="shared" si="0"/>
        <v>6500</v>
      </c>
      <c r="G48" s="324"/>
      <c r="H48" s="299" t="s">
        <v>281</v>
      </c>
      <c r="I48" s="302"/>
      <c r="J48" s="302"/>
      <c r="K48" s="326"/>
      <c r="L48" s="327"/>
    </row>
    <row r="49" spans="2:12" ht="16.2" thickBot="1" x14ac:dyDescent="0.35">
      <c r="B49" s="303" t="s">
        <v>271</v>
      </c>
      <c r="C49" s="256">
        <v>5500</v>
      </c>
      <c r="D49" s="305">
        <v>0</v>
      </c>
      <c r="E49" s="298">
        <v>1</v>
      </c>
      <c r="F49" s="191">
        <f t="shared" si="0"/>
        <v>5500</v>
      </c>
      <c r="G49" s="324"/>
      <c r="H49" s="302" t="s">
        <v>272</v>
      </c>
      <c r="I49" s="302"/>
      <c r="J49" s="302"/>
      <c r="K49" s="326"/>
      <c r="L49" s="327"/>
    </row>
    <row r="50" spans="2:12" ht="16.2" thickBot="1" x14ac:dyDescent="0.35">
      <c r="B50" s="303" t="s">
        <v>279</v>
      </c>
      <c r="C50" s="256">
        <v>18000</v>
      </c>
      <c r="D50" s="305">
        <v>0.02</v>
      </c>
      <c r="E50" s="298">
        <v>1</v>
      </c>
      <c r="F50" s="191">
        <f t="shared" si="0"/>
        <v>18000</v>
      </c>
      <c r="G50" s="324"/>
      <c r="H50" s="299" t="s">
        <v>281</v>
      </c>
      <c r="I50" s="302"/>
      <c r="J50" s="302"/>
      <c r="K50" s="326"/>
      <c r="L50" s="327"/>
    </row>
    <row r="51" spans="2:12" ht="16.2" thickBot="1" x14ac:dyDescent="0.35">
      <c r="B51" s="180" t="s">
        <v>278</v>
      </c>
      <c r="C51" s="195">
        <v>45000</v>
      </c>
      <c r="D51" s="251">
        <v>3</v>
      </c>
      <c r="E51" s="181">
        <v>1</v>
      </c>
      <c r="F51" s="191">
        <f t="shared" si="0"/>
        <v>45000</v>
      </c>
      <c r="G51" s="324"/>
      <c r="H51" s="299" t="s">
        <v>281</v>
      </c>
      <c r="I51" s="301"/>
      <c r="J51" s="301"/>
      <c r="K51" s="388"/>
      <c r="L51" s="389"/>
    </row>
    <row r="52" spans="2:12" ht="16.2" thickBot="1" x14ac:dyDescent="0.35">
      <c r="B52" s="417" t="s">
        <v>93</v>
      </c>
      <c r="C52" s="418"/>
      <c r="D52" s="418"/>
      <c r="E52" s="418"/>
      <c r="F52" s="418"/>
      <c r="G52" s="418"/>
      <c r="H52" s="418"/>
      <c r="I52" s="418"/>
      <c r="J52" s="418"/>
      <c r="K52" s="418"/>
      <c r="L52" s="418"/>
    </row>
    <row r="53" spans="2:12" ht="16.2" thickBot="1" x14ac:dyDescent="0.35">
      <c r="B53" s="182" t="s">
        <v>285</v>
      </c>
      <c r="C53" s="191">
        <v>67000</v>
      </c>
      <c r="D53" s="304">
        <v>0.04</v>
      </c>
      <c r="E53" s="183">
        <v>6</v>
      </c>
      <c r="F53" s="191">
        <v>0</v>
      </c>
      <c r="G53" s="324"/>
      <c r="H53" s="299" t="s">
        <v>273</v>
      </c>
      <c r="I53" s="299"/>
      <c r="J53" s="299"/>
      <c r="K53" s="392"/>
      <c r="L53" s="393"/>
    </row>
    <row r="54" spans="2:12" ht="16.2" thickBot="1" x14ac:dyDescent="0.35">
      <c r="B54" s="185" t="s">
        <v>286</v>
      </c>
      <c r="C54" s="193">
        <v>25000</v>
      </c>
      <c r="D54" s="252">
        <v>0.05</v>
      </c>
      <c r="E54" s="186">
        <v>6</v>
      </c>
      <c r="F54" s="191">
        <v>0</v>
      </c>
      <c r="G54" s="324"/>
      <c r="H54" s="300" t="s">
        <v>274</v>
      </c>
      <c r="I54" s="300"/>
      <c r="J54" s="300"/>
      <c r="K54" s="390"/>
      <c r="L54" s="391"/>
    </row>
    <row r="55" spans="2:12" ht="16.2" thickBot="1" x14ac:dyDescent="0.35">
      <c r="B55" s="185" t="s">
        <v>287</v>
      </c>
      <c r="C55" s="193">
        <v>43000</v>
      </c>
      <c r="D55" s="252">
        <v>0.05</v>
      </c>
      <c r="E55" s="186">
        <v>6</v>
      </c>
      <c r="F55" s="191">
        <v>0</v>
      </c>
      <c r="G55" s="324"/>
      <c r="H55" s="300" t="s">
        <v>274</v>
      </c>
      <c r="I55" s="300"/>
      <c r="J55" s="300"/>
      <c r="K55" s="390"/>
      <c r="L55" s="391"/>
    </row>
    <row r="56" spans="2:12" ht="16.2" thickBot="1" x14ac:dyDescent="0.35">
      <c r="B56" s="185" t="s">
        <v>288</v>
      </c>
      <c r="C56" s="193">
        <v>12000</v>
      </c>
      <c r="D56" s="252">
        <v>0.03</v>
      </c>
      <c r="E56" s="186">
        <v>5</v>
      </c>
      <c r="F56" s="191">
        <v>0</v>
      </c>
      <c r="G56" s="324"/>
      <c r="H56" s="300" t="s">
        <v>275</v>
      </c>
      <c r="I56" s="300"/>
      <c r="J56" s="300"/>
      <c r="K56" s="390"/>
      <c r="L56" s="391"/>
    </row>
    <row r="57" spans="2:12" ht="16.2" thickBot="1" x14ac:dyDescent="0.35">
      <c r="B57" s="185" t="s">
        <v>276</v>
      </c>
      <c r="C57" s="193">
        <v>8200</v>
      </c>
      <c r="D57" s="252">
        <v>0.04</v>
      </c>
      <c r="E57" s="186">
        <v>6</v>
      </c>
      <c r="F57" s="191">
        <v>0</v>
      </c>
      <c r="G57" s="324"/>
      <c r="H57" s="300" t="s">
        <v>277</v>
      </c>
      <c r="I57" s="300"/>
      <c r="J57" s="300"/>
      <c r="K57" s="390"/>
      <c r="L57" s="391"/>
    </row>
    <row r="58" spans="2:12" ht="16.2" thickBot="1" x14ac:dyDescent="0.35">
      <c r="B58" s="417" t="s">
        <v>95</v>
      </c>
      <c r="C58" s="418"/>
      <c r="D58" s="418"/>
      <c r="E58" s="418"/>
      <c r="F58" s="418"/>
      <c r="G58" s="418"/>
      <c r="H58" s="418"/>
      <c r="I58" s="418"/>
      <c r="J58" s="418"/>
      <c r="K58" s="418"/>
      <c r="L58" s="418"/>
    </row>
    <row r="59" spans="2:12" x14ac:dyDescent="0.3">
      <c r="B59" s="182"/>
      <c r="C59" s="191"/>
      <c r="D59" s="253"/>
      <c r="E59" s="183"/>
      <c r="F59" s="191"/>
      <c r="G59" s="191"/>
      <c r="H59" s="299"/>
      <c r="I59" s="299"/>
      <c r="J59" s="299"/>
      <c r="K59" s="392"/>
      <c r="L59" s="393"/>
    </row>
    <row r="60" spans="2:12" x14ac:dyDescent="0.3">
      <c r="B60" s="185"/>
      <c r="C60" s="193"/>
      <c r="D60" s="254"/>
      <c r="E60" s="186"/>
      <c r="F60" s="193"/>
      <c r="G60" s="193"/>
      <c r="H60" s="300"/>
      <c r="I60" s="300"/>
      <c r="J60" s="300"/>
      <c r="K60" s="390"/>
      <c r="L60" s="391"/>
    </row>
    <row r="61" spans="2:12" ht="16.2" thickBot="1" x14ac:dyDescent="0.35">
      <c r="B61" s="180"/>
      <c r="C61" s="195"/>
      <c r="D61" s="277"/>
      <c r="E61" s="181"/>
      <c r="F61" s="195"/>
      <c r="G61" s="195"/>
      <c r="H61" s="301"/>
      <c r="I61" s="301"/>
      <c r="J61" s="301"/>
      <c r="K61" s="388"/>
      <c r="L61" s="389"/>
    </row>
    <row r="62" spans="2:12" ht="5.7" customHeight="1" thickBot="1" x14ac:dyDescent="0.35">
      <c r="B62" s="310"/>
      <c r="C62" s="311"/>
      <c r="D62" s="312"/>
      <c r="E62" s="310"/>
      <c r="F62" s="311"/>
      <c r="G62" s="311"/>
      <c r="H62" s="313"/>
      <c r="I62" s="313"/>
      <c r="J62" s="313"/>
      <c r="K62" s="313"/>
      <c r="L62" s="313"/>
    </row>
    <row r="63" spans="2:12" ht="5.7" customHeight="1" x14ac:dyDescent="0.3">
      <c r="B63" s="382" t="s">
        <v>242</v>
      </c>
      <c r="C63" s="383"/>
      <c r="D63" s="383"/>
      <c r="E63" s="383"/>
      <c r="F63" s="383"/>
      <c r="G63" s="383"/>
      <c r="H63" s="383"/>
      <c r="I63" s="383"/>
      <c r="J63" s="383"/>
      <c r="K63" s="383"/>
      <c r="L63" s="384"/>
    </row>
    <row r="64" spans="2:12" s="4" customFormat="1" ht="28.8" customHeight="1" thickBot="1" x14ac:dyDescent="0.35">
      <c r="B64" s="385" t="s">
        <v>96</v>
      </c>
      <c r="C64" s="386"/>
      <c r="D64" s="386">
        <f>SUM(C42:C51,C53:C57,C59:C61)</f>
        <v>285200</v>
      </c>
      <c r="E64" s="386" t="s">
        <v>97</v>
      </c>
      <c r="F64" s="386">
        <f>D64/D70</f>
        <v>1</v>
      </c>
      <c r="G64" s="386"/>
      <c r="H64" s="386" t="s">
        <v>98</v>
      </c>
      <c r="I64" s="386"/>
      <c r="J64" s="386">
        <f>SUM(C53:C57,C59:C61)/D70</f>
        <v>0.54417952314165496</v>
      </c>
      <c r="K64" s="386" t="s">
        <v>92</v>
      </c>
      <c r="L64" s="387">
        <f>SUM(C42:C51)/D70</f>
        <v>0.45582047685834504</v>
      </c>
    </row>
    <row r="65" spans="2:12" ht="3" customHeight="1" thickBot="1" x14ac:dyDescent="0.35">
      <c r="B65" s="255"/>
      <c r="C65" s="291"/>
      <c r="D65" s="255"/>
      <c r="E65" s="255"/>
      <c r="F65" s="291"/>
      <c r="G65" s="291"/>
      <c r="H65" s="291"/>
      <c r="I65" s="291"/>
      <c r="J65" s="9"/>
      <c r="K65" s="255"/>
      <c r="L65" s="255"/>
    </row>
    <row r="66" spans="2:12" s="4" customFormat="1" ht="17.399999999999999" customHeight="1" thickBot="1" x14ac:dyDescent="0.35">
      <c r="B66" s="212" t="s">
        <v>243</v>
      </c>
      <c r="C66" s="292" t="s">
        <v>244</v>
      </c>
      <c r="D66" s="215" t="s">
        <v>246</v>
      </c>
      <c r="E66" s="215" t="s">
        <v>247</v>
      </c>
      <c r="F66" s="293" t="s">
        <v>65</v>
      </c>
      <c r="G66" s="317" t="s">
        <v>248</v>
      </c>
      <c r="H66" s="294" t="s">
        <v>249</v>
      </c>
      <c r="I66" s="221" t="s">
        <v>250</v>
      </c>
      <c r="J66" s="221" t="s">
        <v>256</v>
      </c>
      <c r="K66" s="394" t="s">
        <v>245</v>
      </c>
      <c r="L66" s="395"/>
    </row>
    <row r="67" spans="2:12" s="4" customFormat="1" ht="18.600000000000001" customHeight="1" x14ac:dyDescent="0.3">
      <c r="B67" s="185"/>
      <c r="C67" s="324"/>
      <c r="D67" s="252"/>
      <c r="E67" s="186"/>
      <c r="F67" s="325"/>
      <c r="G67" s="325"/>
      <c r="H67" s="325"/>
      <c r="I67" s="325"/>
      <c r="J67" s="325"/>
      <c r="K67" s="390"/>
      <c r="L67" s="391"/>
    </row>
    <row r="68" spans="2:12" s="4" customFormat="1" ht="16.8" customHeight="1" x14ac:dyDescent="0.3">
      <c r="B68" s="185"/>
      <c r="C68" s="193"/>
      <c r="D68" s="252"/>
      <c r="E68" s="186"/>
      <c r="F68" s="325"/>
      <c r="G68" s="325"/>
      <c r="H68" s="325"/>
      <c r="I68" s="325"/>
      <c r="J68" s="325"/>
      <c r="K68" s="390"/>
      <c r="L68" s="391"/>
    </row>
    <row r="69" spans="2:12" ht="4.2" customHeight="1" thickBot="1" x14ac:dyDescent="0.35">
      <c r="B69" s="309"/>
      <c r="F69" s="309"/>
      <c r="G69" s="309"/>
      <c r="H69" s="309"/>
      <c r="I69" s="309"/>
    </row>
    <row r="70" spans="2:12" ht="24.45" customHeight="1" thickBot="1" x14ac:dyDescent="0.35">
      <c r="B70" s="379" t="s">
        <v>99</v>
      </c>
      <c r="C70" s="380"/>
      <c r="D70" s="440">
        <f>E35+D64</f>
        <v>285200</v>
      </c>
      <c r="E70" s="441"/>
      <c r="F70" s="380" t="s">
        <v>100</v>
      </c>
      <c r="G70" s="380"/>
      <c r="H70" s="380"/>
      <c r="I70" s="380"/>
      <c r="J70" s="380"/>
      <c r="K70" s="438">
        <f>SUM(F42:F51,F53:F57,F59:F61)</f>
        <v>130000</v>
      </c>
      <c r="L70" s="439"/>
    </row>
    <row r="71" spans="2:12" ht="3" customHeight="1" thickBot="1" x14ac:dyDescent="0.35">
      <c r="B71" s="257"/>
      <c r="C71" s="257"/>
      <c r="D71" s="295"/>
      <c r="E71" s="255"/>
      <c r="F71" s="296"/>
      <c r="G71" s="296"/>
      <c r="H71" s="296"/>
      <c r="I71" s="296"/>
      <c r="J71" s="246"/>
      <c r="K71" s="255"/>
      <c r="L71" s="255"/>
    </row>
    <row r="72" spans="2:12" ht="16.2" thickBot="1" x14ac:dyDescent="0.35">
      <c r="B72" s="396" t="s">
        <v>48</v>
      </c>
      <c r="C72" s="397"/>
      <c r="D72" s="397"/>
      <c r="E72" s="397"/>
      <c r="F72" s="397"/>
      <c r="G72" s="397"/>
      <c r="H72" s="397"/>
      <c r="I72" s="397"/>
      <c r="J72" s="397"/>
      <c r="K72" s="397"/>
      <c r="L72" s="398"/>
    </row>
    <row r="73" spans="2:12" x14ac:dyDescent="0.3">
      <c r="B73" s="378"/>
      <c r="C73" s="378"/>
      <c r="D73" s="378"/>
      <c r="E73" s="378"/>
      <c r="F73" s="378"/>
      <c r="G73" s="378"/>
      <c r="H73" s="378"/>
      <c r="I73" s="378"/>
      <c r="J73" s="378"/>
      <c r="K73" s="6"/>
      <c r="L73" s="6"/>
    </row>
    <row r="74" spans="2:12" x14ac:dyDescent="0.3">
      <c r="B74" s="6"/>
      <c r="C74" s="157"/>
      <c r="D74" s="6"/>
      <c r="E74" s="6"/>
      <c r="F74" s="157"/>
      <c r="G74" s="157"/>
      <c r="H74" s="157"/>
      <c r="I74" s="157"/>
      <c r="J74" s="158"/>
      <c r="K74" s="6"/>
      <c r="L74" s="6"/>
    </row>
    <row r="75" spans="2:12" x14ac:dyDescent="0.3">
      <c r="B75" s="133"/>
      <c r="C75" s="153"/>
      <c r="D75" s="133"/>
      <c r="E75" s="133"/>
      <c r="F75" s="153"/>
      <c r="G75" s="153"/>
      <c r="H75" s="159"/>
      <c r="I75" s="159"/>
      <c r="J75" s="160"/>
      <c r="K75" s="6"/>
      <c r="L75" s="6"/>
    </row>
    <row r="76" spans="2:12" x14ac:dyDescent="0.3">
      <c r="B76" s="133"/>
      <c r="C76" s="153"/>
      <c r="D76" s="133"/>
      <c r="E76" s="133"/>
      <c r="F76" s="153"/>
      <c r="G76" s="153"/>
      <c r="H76" s="159"/>
      <c r="I76" s="159"/>
      <c r="J76" s="160"/>
      <c r="K76" s="6"/>
      <c r="L76" s="6"/>
    </row>
    <row r="77" spans="2:12" x14ac:dyDescent="0.3">
      <c r="B77" s="133"/>
      <c r="C77" s="153"/>
      <c r="D77" s="133"/>
      <c r="E77" s="133"/>
      <c r="F77" s="153"/>
      <c r="G77" s="153"/>
      <c r="H77" s="159"/>
      <c r="I77" s="159"/>
      <c r="J77" s="160"/>
      <c r="K77" s="161"/>
      <c r="L77" s="6"/>
    </row>
    <row r="78" spans="2:12" x14ac:dyDescent="0.3">
      <c r="B78" s="399"/>
      <c r="C78" s="399"/>
      <c r="D78" s="400"/>
      <c r="E78" s="400"/>
      <c r="F78" s="157"/>
      <c r="G78" s="157"/>
      <c r="H78" s="157"/>
      <c r="I78" s="157"/>
      <c r="J78" s="158"/>
      <c r="K78" s="6"/>
      <c r="L78" s="6"/>
    </row>
    <row r="79" spans="2:12" ht="3.45" customHeight="1" x14ac:dyDescent="0.3">
      <c r="B79" s="6"/>
      <c r="C79" s="157"/>
      <c r="D79" s="6"/>
      <c r="E79" s="6"/>
      <c r="F79" s="157"/>
      <c r="G79" s="157"/>
      <c r="H79" s="157"/>
      <c r="I79" s="157"/>
      <c r="J79" s="158"/>
      <c r="K79" s="6"/>
      <c r="L79" s="6"/>
    </row>
    <row r="80" spans="2:12" x14ac:dyDescent="0.3">
      <c r="B80" s="377"/>
      <c r="C80" s="377"/>
      <c r="D80" s="377"/>
      <c r="E80" s="377"/>
      <c r="F80" s="377"/>
      <c r="G80" s="377"/>
      <c r="H80" s="377"/>
      <c r="I80" s="377"/>
      <c r="J80" s="377"/>
      <c r="K80" s="377"/>
      <c r="L80" s="6"/>
    </row>
    <row r="81" spans="2:12" x14ac:dyDescent="0.3">
      <c r="B81" s="15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2:12" x14ac:dyDescent="0.3">
      <c r="B82" s="152"/>
      <c r="C82" s="6"/>
      <c r="D82" s="6"/>
      <c r="E82" s="6"/>
      <c r="F82" s="6"/>
      <c r="G82" s="6"/>
      <c r="H82" s="6"/>
      <c r="I82" s="6"/>
      <c r="J82" s="6"/>
      <c r="K82" s="6"/>
      <c r="L82" s="6"/>
    </row>
  </sheetData>
  <mergeCells count="65">
    <mergeCell ref="K33:L33"/>
    <mergeCell ref="K44:L44"/>
    <mergeCell ref="K70:L70"/>
    <mergeCell ref="F70:J70"/>
    <mergeCell ref="B41:L41"/>
    <mergeCell ref="K56:L56"/>
    <mergeCell ref="K46:L46"/>
    <mergeCell ref="K47:L47"/>
    <mergeCell ref="K53:L53"/>
    <mergeCell ref="B52:L52"/>
    <mergeCell ref="K51:L51"/>
    <mergeCell ref="K45:L45"/>
    <mergeCell ref="K43:L43"/>
    <mergeCell ref="B58:L58"/>
    <mergeCell ref="D70:E70"/>
    <mergeCell ref="B63:L64"/>
    <mergeCell ref="K66:L66"/>
    <mergeCell ref="B2:L3"/>
    <mergeCell ref="B5:L5"/>
    <mergeCell ref="B10:L10"/>
    <mergeCell ref="B18:L18"/>
    <mergeCell ref="B26:L26"/>
    <mergeCell ref="B7:B8"/>
    <mergeCell ref="C8:D8"/>
    <mergeCell ref="C7:D7"/>
    <mergeCell ref="K8:L8"/>
    <mergeCell ref="K7:L7"/>
    <mergeCell ref="B14:C14"/>
    <mergeCell ref="B13:C13"/>
    <mergeCell ref="B11:C11"/>
    <mergeCell ref="J23:L23"/>
    <mergeCell ref="B16:C16"/>
    <mergeCell ref="B15:C15"/>
    <mergeCell ref="D78:E78"/>
    <mergeCell ref="F33:J33"/>
    <mergeCell ref="B20:C20"/>
    <mergeCell ref="B24:C24"/>
    <mergeCell ref="B22:C22"/>
    <mergeCell ref="B23:C23"/>
    <mergeCell ref="B28:C28"/>
    <mergeCell ref="B31:C31"/>
    <mergeCell ref="B30:C30"/>
    <mergeCell ref="D33:E33"/>
    <mergeCell ref="B33:C33"/>
    <mergeCell ref="I20:L20"/>
    <mergeCell ref="K67:L67"/>
    <mergeCell ref="K68:L68"/>
    <mergeCell ref="I22:L22"/>
    <mergeCell ref="I24:L24"/>
    <mergeCell ref="B80:K80"/>
    <mergeCell ref="B73:J73"/>
    <mergeCell ref="B70:C70"/>
    <mergeCell ref="J35:K35"/>
    <mergeCell ref="B35:C35"/>
    <mergeCell ref="B37:L38"/>
    <mergeCell ref="K61:L61"/>
    <mergeCell ref="K60:L60"/>
    <mergeCell ref="K59:L59"/>
    <mergeCell ref="K55:L55"/>
    <mergeCell ref="K57:L57"/>
    <mergeCell ref="K54:L54"/>
    <mergeCell ref="K42:L42"/>
    <mergeCell ref="K40:L40"/>
    <mergeCell ref="B72:L72"/>
    <mergeCell ref="B78:C78"/>
  </mergeCells>
  <dataValidations count="2">
    <dataValidation type="list" allowBlank="1" showInputMessage="1" showErrorMessage="1" sqref="B30:B31" xr:uid="{3D161660-D140-4743-A4D6-54F82D4A80E5}">
      <formula1>"Changement RP,Travaux,Investissement,Autre"</formula1>
    </dataValidation>
    <dataValidation type="list" allowBlank="1" showInputMessage="1" showErrorMessage="1" sqref="J75:J77 J71" xr:uid="{DAEA72D6-35C5-4136-8E3A-55D3ACD20A83}">
      <formula1>$B$36:$B$36</formula1>
    </dataValidation>
  </dataValidation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H27" sqref="H27"/>
    </sheetView>
  </sheetViews>
  <sheetFormatPr baseColWidth="10" defaultColWidth="11" defaultRowHeight="15.6" x14ac:dyDescent="0.3"/>
  <cols>
    <col min="1" max="1" width="6.19921875" customWidth="1"/>
    <col min="2" max="2" width="14.5" style="4" customWidth="1"/>
    <col min="3" max="3" width="13.5" bestFit="1" customWidth="1"/>
    <col min="4" max="4" width="14" bestFit="1" customWidth="1"/>
    <col min="5" max="5" width="14.69921875" bestFit="1" customWidth="1"/>
    <col min="6" max="7" width="12.69921875" customWidth="1"/>
    <col min="10" max="10" width="12.19921875" customWidth="1"/>
    <col min="11" max="11" width="13.19921875" customWidth="1"/>
    <col min="12" max="12" width="14.69921875" customWidth="1"/>
  </cols>
  <sheetData>
    <row r="1" spans="2:12" ht="3" customHeight="1" thickBot="1" x14ac:dyDescent="0.35"/>
    <row r="2" spans="2:12" ht="19.95" customHeight="1" x14ac:dyDescent="0.3">
      <c r="B2" s="382" t="s">
        <v>101</v>
      </c>
      <c r="C2" s="383"/>
      <c r="D2" s="383"/>
      <c r="E2" s="383"/>
      <c r="F2" s="384"/>
      <c r="G2" s="172"/>
      <c r="H2" s="172"/>
      <c r="I2" s="172"/>
      <c r="J2" s="172"/>
      <c r="K2" s="172"/>
    </row>
    <row r="3" spans="2:12" ht="19.95" customHeight="1" thickBot="1" x14ac:dyDescent="0.35">
      <c r="B3" s="385"/>
      <c r="C3" s="386"/>
      <c r="D3" s="386"/>
      <c r="E3" s="386"/>
      <c r="F3" s="387"/>
      <c r="G3" s="172"/>
      <c r="H3" s="172"/>
      <c r="I3" s="172"/>
      <c r="J3" s="172"/>
      <c r="K3" s="172"/>
    </row>
    <row r="4" spans="2:12" ht="4.2" customHeight="1" thickBot="1" x14ac:dyDescent="0.35"/>
    <row r="5" spans="2:12" ht="12" customHeight="1" x14ac:dyDescent="0.3">
      <c r="B5" s="371" t="s">
        <v>102</v>
      </c>
      <c r="C5" s="372"/>
      <c r="D5" s="372"/>
      <c r="E5" s="372"/>
      <c r="F5" s="450"/>
      <c r="I5" s="184"/>
      <c r="J5" s="184"/>
    </row>
    <row r="6" spans="2:12" ht="12" customHeight="1" thickBot="1" x14ac:dyDescent="0.35">
      <c r="B6" s="451"/>
      <c r="C6" s="452"/>
      <c r="D6" s="452"/>
      <c r="E6" s="452"/>
      <c r="F6" s="453"/>
      <c r="I6" s="155"/>
      <c r="J6" s="155"/>
    </row>
    <row r="7" spans="2:12" ht="15" customHeight="1" thickBot="1" x14ac:dyDescent="0.35">
      <c r="B7" s="456" t="s">
        <v>63</v>
      </c>
      <c r="C7" s="457"/>
      <c r="D7" s="213" t="s">
        <v>87</v>
      </c>
      <c r="E7" s="213" t="s">
        <v>103</v>
      </c>
      <c r="F7" s="214" t="s">
        <v>104</v>
      </c>
    </row>
    <row r="8" spans="2:12" ht="15" customHeight="1" thickBot="1" x14ac:dyDescent="0.35">
      <c r="B8" s="454" t="s">
        <v>105</v>
      </c>
      <c r="C8" s="455"/>
      <c r="D8" s="175">
        <v>250000</v>
      </c>
      <c r="E8" s="175">
        <f>D8*0.015</f>
        <v>3750</v>
      </c>
      <c r="F8" s="190"/>
    </row>
    <row r="9" spans="2:12" ht="3" customHeight="1" thickBot="1" x14ac:dyDescent="0.35">
      <c r="B9" s="166"/>
      <c r="C9" s="167"/>
      <c r="D9" s="167"/>
      <c r="E9" s="168"/>
      <c r="F9" s="168"/>
    </row>
    <row r="10" spans="2:12" ht="16.2" thickBot="1" x14ac:dyDescent="0.35">
      <c r="B10" s="417" t="s">
        <v>61</v>
      </c>
      <c r="C10" s="418"/>
      <c r="D10" s="418"/>
      <c r="E10" s="418"/>
      <c r="F10" s="419"/>
    </row>
    <row r="11" spans="2:12" ht="6" customHeight="1" thickBot="1" x14ac:dyDescent="0.35"/>
    <row r="12" spans="2:12" ht="26.7" customHeight="1" thickBot="1" x14ac:dyDescent="0.35">
      <c r="B12" s="402" t="s">
        <v>106</v>
      </c>
      <c r="C12" s="403"/>
      <c r="D12" s="215" t="s">
        <v>87</v>
      </c>
      <c r="E12" s="215" t="s">
        <v>103</v>
      </c>
      <c r="F12" s="216" t="s">
        <v>107</v>
      </c>
      <c r="L12" s="184"/>
    </row>
    <row r="13" spans="2:12" ht="3" customHeight="1" thickBot="1" x14ac:dyDescent="0.35">
      <c r="B13" s="169"/>
      <c r="F13" s="170"/>
      <c r="L13" s="6"/>
    </row>
    <row r="14" spans="2:12" x14ac:dyDescent="0.3">
      <c r="B14" s="406" t="s">
        <v>108</v>
      </c>
      <c r="C14" s="407"/>
      <c r="D14" s="191">
        <v>450000</v>
      </c>
      <c r="E14" s="191">
        <f>IF(ISBLANK(D14),0,D14*0.015)</f>
        <v>6750</v>
      </c>
      <c r="F14" s="192"/>
      <c r="L14" s="6"/>
    </row>
    <row r="15" spans="2:12" x14ac:dyDescent="0.3">
      <c r="B15" s="408"/>
      <c r="C15" s="409"/>
      <c r="D15" s="193"/>
      <c r="E15" s="193">
        <f t="shared" ref="E15:E17" si="0">IF(ISBLANK(D15),0,D15*0.015)</f>
        <v>0</v>
      </c>
      <c r="F15" s="194"/>
      <c r="L15" s="6"/>
    </row>
    <row r="16" spans="2:12" x14ac:dyDescent="0.3">
      <c r="B16" s="408"/>
      <c r="C16" s="409"/>
      <c r="D16" s="193"/>
      <c r="E16" s="193">
        <f t="shared" si="0"/>
        <v>0</v>
      </c>
      <c r="F16" s="194"/>
      <c r="L16" s="6"/>
    </row>
    <row r="17" spans="2:12" ht="16.2" thickBot="1" x14ac:dyDescent="0.35">
      <c r="B17" s="404"/>
      <c r="C17" s="405"/>
      <c r="D17" s="195"/>
      <c r="E17" s="195">
        <f t="shared" si="0"/>
        <v>0</v>
      </c>
      <c r="F17" s="196"/>
      <c r="L17" s="151"/>
    </row>
    <row r="18" spans="2:12" ht="6" customHeight="1" thickBot="1" x14ac:dyDescent="0.35"/>
    <row r="19" spans="2:12" ht="16.2" thickBot="1" x14ac:dyDescent="0.35">
      <c r="B19" s="417" t="s">
        <v>109</v>
      </c>
      <c r="C19" s="418"/>
      <c r="D19" s="418"/>
      <c r="E19" s="418"/>
      <c r="F19" s="419"/>
    </row>
    <row r="20" spans="2:12" ht="6" customHeight="1" thickBot="1" x14ac:dyDescent="0.35">
      <c r="B20"/>
    </row>
    <row r="21" spans="2:12" ht="27" customHeight="1" thickBot="1" x14ac:dyDescent="0.35">
      <c r="B21" s="162" t="s">
        <v>110</v>
      </c>
      <c r="C21" s="163" t="s">
        <v>111</v>
      </c>
      <c r="D21" s="164" t="s">
        <v>112</v>
      </c>
      <c r="E21" s="163" t="s">
        <v>113</v>
      </c>
      <c r="F21" s="165" t="s">
        <v>114</v>
      </c>
    </row>
    <row r="22" spans="2:12" ht="16.2" thickBot="1" x14ac:dyDescent="0.35">
      <c r="B22" s="174">
        <v>0.5</v>
      </c>
      <c r="C22" s="173">
        <v>2</v>
      </c>
      <c r="D22" s="175">
        <f>('Etat Civil'!H8+'Etat Civil'!H14+'Etat Civil'!H10+'Etat Civil'!H16)*'Prévision retraite'!B22+'Etat Civil'!H9+'Etat Civil'!H15+(SUM(F14:F17)*12)*0.8</f>
        <v>55825</v>
      </c>
      <c r="E22" s="175">
        <f>'Impôt Retraite'!D14</f>
        <v>4170.9500000000007</v>
      </c>
      <c r="F22" s="176">
        <f>SUM(E8,E14:E17)</f>
        <v>10500</v>
      </c>
      <c r="G22" s="184"/>
      <c r="H22" s="184"/>
      <c r="I22" s="399"/>
      <c r="J22" s="399"/>
    </row>
    <row r="23" spans="2:12" ht="6.45" customHeight="1" thickBot="1" x14ac:dyDescent="0.35">
      <c r="B23"/>
      <c r="F23" s="156"/>
      <c r="G23" s="6"/>
      <c r="H23" s="6"/>
      <c r="I23" s="6"/>
      <c r="J23" s="6"/>
    </row>
    <row r="24" spans="2:12" ht="17.7" customHeight="1" x14ac:dyDescent="0.3">
      <c r="B24" s="458" t="s">
        <v>115</v>
      </c>
      <c r="C24" s="459"/>
      <c r="D24" s="460"/>
      <c r="E24" s="217">
        <f>D22-F22-E22</f>
        <v>41154.050000000003</v>
      </c>
      <c r="F24" s="177" t="str">
        <f>ROUND((E24/12),0)&amp;"€/mois"</f>
        <v>3430€/mois</v>
      </c>
      <c r="G24" s="154"/>
      <c r="H24" s="153"/>
      <c r="I24" s="449"/>
      <c r="J24" s="449"/>
    </row>
    <row r="25" spans="2:12" ht="16.95" customHeight="1" thickBot="1" x14ac:dyDescent="0.35">
      <c r="B25" s="464" t="s">
        <v>116</v>
      </c>
      <c r="C25" s="465"/>
      <c r="D25" s="466"/>
      <c r="E25" s="218" t="e">
        <f>E24-C30</f>
        <v>#REF!</v>
      </c>
      <c r="F25" s="178" t="e">
        <f>ROUND((E25/12),0)&amp;"€/mois"</f>
        <v>#REF!</v>
      </c>
    </row>
    <row r="26" spans="2:12" ht="3" customHeight="1" thickBot="1" x14ac:dyDescent="0.35">
      <c r="B26" s="134"/>
      <c r="C26" s="153"/>
      <c r="D26" s="133"/>
      <c r="E26" s="133"/>
      <c r="F26" s="133"/>
      <c r="G26" s="154"/>
      <c r="H26" s="153"/>
      <c r="I26" s="449"/>
      <c r="J26" s="449"/>
    </row>
    <row r="27" spans="2:12" ht="16.95" customHeight="1" thickBot="1" x14ac:dyDescent="0.35">
      <c r="B27" s="461" t="s">
        <v>48</v>
      </c>
      <c r="C27" s="462"/>
      <c r="D27" s="462"/>
      <c r="E27" s="462"/>
      <c r="F27" s="463"/>
      <c r="G27" s="171"/>
      <c r="H27" s="171"/>
      <c r="I27" s="171"/>
      <c r="J27" s="171"/>
      <c r="K27" s="171"/>
    </row>
    <row r="28" spans="2:12" ht="4.2" customHeight="1" x14ac:dyDescent="0.3"/>
    <row r="29" spans="2:12" ht="13.2" customHeight="1" x14ac:dyDescent="0.3">
      <c r="B29" s="377"/>
      <c r="C29" s="377"/>
      <c r="D29" s="377"/>
      <c r="E29" s="377"/>
      <c r="F29" s="377"/>
      <c r="G29" s="377"/>
      <c r="H29" s="377"/>
      <c r="I29" s="377"/>
      <c r="J29" s="377"/>
      <c r="K29" s="377"/>
    </row>
    <row r="30" spans="2:12" hidden="1" x14ac:dyDescent="0.3">
      <c r="B30" s="4" t="s">
        <v>117</v>
      </c>
      <c r="C30" s="189" t="e">
        <f>('Etat Civil'!H8+'Etat Civil'!H14+'Etat Civil'!H10+'Etat Civil'!H16)-'Etat Civil'!G31-('Principaux objectifs'!G5*12)+(SUM('Situation Patrimoniale'!K13:K16)*0.8)*12-SUM('Situation Patrimoniale'!J13:J16)*12-SUM('Situation Patrimoniale'!H22:H24)*12-IF('Situation Patrimoniale'!B30="Changement RP",'Situation Patrimoniale'!J30*12,IF('Situation Patrimoniale'!B31="Changement RP",'Situation Patrimoniale'!J31*12,'Situation Patrimoniale'!#REF!*12))</f>
        <v>#REF!</v>
      </c>
    </row>
  </sheetData>
  <mergeCells count="18"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  <mergeCell ref="B17:C17"/>
    <mergeCell ref="B16:C16"/>
    <mergeCell ref="B15:C15"/>
    <mergeCell ref="B14:C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G29" sqref="G29"/>
    </sheetView>
  </sheetViews>
  <sheetFormatPr baseColWidth="10" defaultColWidth="11" defaultRowHeight="15.6" x14ac:dyDescent="0.3"/>
  <cols>
    <col min="1" max="1" width="6.19921875" customWidth="1"/>
    <col min="2" max="2" width="11.19921875" style="4"/>
    <col min="3" max="3" width="14.19921875" bestFit="1" customWidth="1"/>
    <col min="4" max="4" width="14" bestFit="1" customWidth="1"/>
    <col min="5" max="5" width="15.19921875" customWidth="1"/>
    <col min="6" max="6" width="12.69921875" customWidth="1"/>
    <col min="8" max="8" width="11.69921875" bestFit="1" customWidth="1"/>
    <col min="9" max="9" width="12.19921875" customWidth="1"/>
    <col min="10" max="10" width="1.19921875" customWidth="1"/>
    <col min="11" max="11" width="12.19921875" customWidth="1"/>
    <col min="12" max="12" width="20.69921875" customWidth="1"/>
    <col min="13" max="13" width="14.69921875" customWidth="1"/>
  </cols>
  <sheetData>
    <row r="1" spans="2:13" ht="3" customHeight="1" thickBot="1" x14ac:dyDescent="0.35"/>
    <row r="2" spans="2:13" ht="19.95" customHeight="1" x14ac:dyDescent="0.3">
      <c r="B2" s="382" t="s">
        <v>118</v>
      </c>
      <c r="C2" s="383"/>
      <c r="D2" s="383"/>
      <c r="E2" s="383"/>
      <c r="F2" s="383"/>
      <c r="G2" s="383"/>
      <c r="H2" s="383"/>
      <c r="I2" s="383"/>
      <c r="J2" s="383"/>
      <c r="K2" s="383"/>
      <c r="L2" s="384"/>
    </row>
    <row r="3" spans="2:13" ht="19.95" customHeight="1" thickBot="1" x14ac:dyDescent="0.35">
      <c r="B3" s="385"/>
      <c r="C3" s="386"/>
      <c r="D3" s="386"/>
      <c r="E3" s="386"/>
      <c r="F3" s="386"/>
      <c r="G3" s="386"/>
      <c r="H3" s="386"/>
      <c r="I3" s="386"/>
      <c r="J3" s="386"/>
      <c r="K3" s="386"/>
      <c r="L3" s="387"/>
    </row>
    <row r="4" spans="2:13" ht="4.2" customHeight="1" x14ac:dyDescent="0.3"/>
    <row r="5" spans="2:13" x14ac:dyDescent="0.3">
      <c r="B5" s="401" t="s">
        <v>119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</row>
    <row r="6" spans="2:13" ht="6" customHeight="1" thickBot="1" x14ac:dyDescent="0.35"/>
    <row r="7" spans="2:13" ht="16.2" thickBot="1" x14ac:dyDescent="0.35">
      <c r="B7" s="212" t="s">
        <v>106</v>
      </c>
      <c r="C7" s="213" t="s">
        <v>87</v>
      </c>
      <c r="D7" s="213" t="s">
        <v>120</v>
      </c>
      <c r="E7" s="213" t="s">
        <v>121</v>
      </c>
      <c r="F7" s="213" t="s">
        <v>122</v>
      </c>
      <c r="G7" s="213" t="s">
        <v>71</v>
      </c>
      <c r="H7" s="213" t="s">
        <v>72</v>
      </c>
      <c r="I7" s="213" t="s">
        <v>80</v>
      </c>
      <c r="J7" s="457" t="s">
        <v>74</v>
      </c>
      <c r="K7" s="457"/>
      <c r="L7" s="214" t="s">
        <v>123</v>
      </c>
      <c r="M7" s="214" t="s">
        <v>65</v>
      </c>
    </row>
    <row r="8" spans="2:13" ht="4.95" customHeight="1" thickBot="1" x14ac:dyDescent="0.35">
      <c r="K8" s="1"/>
    </row>
    <row r="9" spans="2:13" x14ac:dyDescent="0.3">
      <c r="B9" s="182"/>
      <c r="C9" s="197"/>
      <c r="D9" s="197"/>
      <c r="E9" s="197"/>
      <c r="F9" s="96"/>
      <c r="G9" s="96"/>
      <c r="H9" s="200"/>
      <c r="I9" s="120"/>
      <c r="J9" s="468"/>
      <c r="K9" s="469"/>
      <c r="L9" s="205"/>
    </row>
    <row r="10" spans="2:13" x14ac:dyDescent="0.3">
      <c r="B10" s="185"/>
      <c r="C10" s="198"/>
      <c r="D10" s="198"/>
      <c r="E10" s="198"/>
      <c r="F10" s="111"/>
      <c r="G10" s="111"/>
      <c r="H10" s="201"/>
      <c r="I10" s="121"/>
      <c r="J10" s="470"/>
      <c r="K10" s="471"/>
      <c r="L10" s="206"/>
    </row>
    <row r="11" spans="2:13" ht="16.2" thickBot="1" x14ac:dyDescent="0.35">
      <c r="B11" s="185"/>
      <c r="C11" s="198"/>
      <c r="D11" s="198"/>
      <c r="E11" s="198"/>
      <c r="F11" s="97"/>
      <c r="G11" s="97"/>
      <c r="H11" s="202"/>
      <c r="I11" s="19"/>
      <c r="J11" s="472"/>
      <c r="K11" s="472"/>
      <c r="L11" s="206"/>
    </row>
    <row r="12" spans="2:13" ht="16.2" thickBot="1" x14ac:dyDescent="0.35">
      <c r="B12" s="180"/>
      <c r="C12" s="199"/>
      <c r="D12" s="199"/>
      <c r="E12" s="199"/>
      <c r="F12" s="98"/>
      <c r="G12" s="98"/>
      <c r="H12" s="203"/>
      <c r="I12" s="18"/>
      <c r="J12" s="467"/>
      <c r="K12" s="467"/>
      <c r="L12" s="207"/>
      <c r="M12" s="204"/>
    </row>
    <row r="13" spans="2:13" ht="11.7" customHeight="1" thickBot="1" x14ac:dyDescent="0.35"/>
    <row r="14" spans="2:13" ht="16.2" thickBot="1" x14ac:dyDescent="0.35">
      <c r="B14" s="417" t="s">
        <v>124</v>
      </c>
      <c r="C14" s="418"/>
      <c r="D14" s="418"/>
      <c r="E14" s="418"/>
      <c r="F14" s="418"/>
      <c r="G14" s="418"/>
      <c r="H14" s="418"/>
      <c r="I14" s="418"/>
      <c r="J14" s="418"/>
      <c r="K14" s="418"/>
      <c r="L14" s="419"/>
    </row>
    <row r="15" spans="2:13" ht="6" customHeight="1" thickBot="1" x14ac:dyDescent="0.35"/>
    <row r="16" spans="2:13" ht="16.2" thickBot="1" x14ac:dyDescent="0.35">
      <c r="B16" s="212" t="s">
        <v>106</v>
      </c>
      <c r="C16" s="213" t="s">
        <v>87</v>
      </c>
      <c r="D16" s="213" t="s">
        <v>120</v>
      </c>
      <c r="E16" s="213" t="s">
        <v>121</v>
      </c>
      <c r="F16" s="213" t="s">
        <v>122</v>
      </c>
      <c r="G16" s="213" t="s">
        <v>71</v>
      </c>
      <c r="H16" s="213" t="s">
        <v>72</v>
      </c>
      <c r="I16" s="213" t="s">
        <v>80</v>
      </c>
      <c r="J16" s="457" t="s">
        <v>74</v>
      </c>
      <c r="K16" s="457"/>
      <c r="L16" s="214" t="s">
        <v>123</v>
      </c>
      <c r="M16" s="214" t="s">
        <v>65</v>
      </c>
    </row>
    <row r="17" spans="2:13" ht="4.95" customHeight="1" thickBot="1" x14ac:dyDescent="0.35">
      <c r="K17" s="1"/>
    </row>
    <row r="18" spans="2:13" ht="16.95" customHeight="1" x14ac:dyDescent="0.3">
      <c r="B18" s="182"/>
      <c r="C18" s="197"/>
      <c r="D18" s="197"/>
      <c r="E18" s="197"/>
      <c r="F18" s="96"/>
      <c r="G18" s="96"/>
      <c r="H18" s="200"/>
      <c r="I18" s="120"/>
      <c r="J18" s="468"/>
      <c r="K18" s="469"/>
      <c r="L18" s="205"/>
    </row>
    <row r="19" spans="2:13" ht="16.95" customHeight="1" x14ac:dyDescent="0.3">
      <c r="B19" s="185"/>
      <c r="C19" s="198"/>
      <c r="D19" s="198"/>
      <c r="E19" s="198"/>
      <c r="F19" s="111"/>
      <c r="G19" s="111"/>
      <c r="H19" s="201"/>
      <c r="I19" s="121"/>
      <c r="J19" s="470"/>
      <c r="K19" s="471"/>
      <c r="L19" s="206"/>
    </row>
    <row r="20" spans="2:13" ht="16.95" customHeight="1" thickBot="1" x14ac:dyDescent="0.35">
      <c r="B20" s="185"/>
      <c r="C20" s="198"/>
      <c r="D20" s="198"/>
      <c r="E20" s="198"/>
      <c r="F20" s="97"/>
      <c r="G20" s="97"/>
      <c r="H20" s="202"/>
      <c r="I20" s="19"/>
      <c r="J20" s="472"/>
      <c r="K20" s="472"/>
      <c r="L20" s="206"/>
    </row>
    <row r="21" spans="2:13" ht="16.2" thickBot="1" x14ac:dyDescent="0.35">
      <c r="B21" s="180"/>
      <c r="C21" s="199"/>
      <c r="D21" s="199"/>
      <c r="E21" s="199"/>
      <c r="F21" s="98"/>
      <c r="G21" s="98"/>
      <c r="H21" s="203"/>
      <c r="I21" s="18"/>
      <c r="J21" s="467"/>
      <c r="K21" s="467"/>
      <c r="L21" s="207"/>
      <c r="M21" s="204"/>
    </row>
    <row r="22" spans="2:13" ht="4.2" customHeight="1" x14ac:dyDescent="0.3"/>
    <row r="23" spans="2:13" ht="13.2" customHeight="1" x14ac:dyDescent="0.3">
      <c r="B23" s="473" t="s">
        <v>48</v>
      </c>
      <c r="C23" s="473"/>
      <c r="D23" s="473"/>
      <c r="E23" s="473"/>
      <c r="F23" s="473"/>
      <c r="G23" s="473"/>
      <c r="H23" s="473"/>
      <c r="I23" s="473"/>
      <c r="J23" s="473"/>
      <c r="K23" s="473"/>
      <c r="L23" s="473"/>
    </row>
  </sheetData>
  <mergeCells count="14">
    <mergeCell ref="B23:L23"/>
    <mergeCell ref="B14:L14"/>
    <mergeCell ref="J18:K18"/>
    <mergeCell ref="J19:K19"/>
    <mergeCell ref="J20:K20"/>
    <mergeCell ref="J21:K21"/>
    <mergeCell ref="J16:K16"/>
    <mergeCell ref="J12:K12"/>
    <mergeCell ref="B2:L3"/>
    <mergeCell ref="B5:L5"/>
    <mergeCell ref="J7:K7"/>
    <mergeCell ref="J9:K9"/>
    <mergeCell ref="J10:K10"/>
    <mergeCell ref="J11:K1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19921875" customWidth="1"/>
    <col min="2" max="2" width="23.19921875" customWidth="1"/>
    <col min="3" max="3" width="16.69921875" style="5" customWidth="1"/>
    <col min="4" max="4" width="16.19921875" customWidth="1"/>
    <col min="5" max="5" width="18.19921875" customWidth="1"/>
    <col min="6" max="7" width="17.69921875" style="5" customWidth="1"/>
    <col min="8" max="8" width="17.69921875" style="8" customWidth="1"/>
    <col min="9" max="9" width="3.19921875" customWidth="1"/>
  </cols>
  <sheetData>
    <row r="1" spans="2:10" ht="2.7" customHeight="1" thickBot="1" x14ac:dyDescent="0.35"/>
    <row r="2" spans="2:10" ht="15.45" customHeight="1" x14ac:dyDescent="0.3">
      <c r="B2" s="481" t="s">
        <v>85</v>
      </c>
      <c r="C2" s="482"/>
      <c r="D2" s="482"/>
      <c r="E2" s="482"/>
      <c r="F2" s="482"/>
      <c r="G2" s="482"/>
      <c r="H2" s="482"/>
      <c r="I2" s="482"/>
      <c r="J2" s="483"/>
    </row>
    <row r="3" spans="2:10" ht="16.2" customHeight="1" thickBot="1" x14ac:dyDescent="0.35">
      <c r="B3" s="484"/>
      <c r="C3" s="485"/>
      <c r="D3" s="485"/>
      <c r="E3" s="485"/>
      <c r="F3" s="485"/>
      <c r="G3" s="485"/>
      <c r="H3" s="485"/>
      <c r="I3" s="485"/>
      <c r="J3" s="486"/>
    </row>
    <row r="4" spans="2:10" ht="4.95" customHeight="1" thickBot="1" x14ac:dyDescent="0.35">
      <c r="C4" s="7"/>
      <c r="F4" s="7"/>
      <c r="G4" s="7"/>
      <c r="H4" s="9"/>
    </row>
    <row r="5" spans="2:10" ht="16.2" thickBot="1" x14ac:dyDescent="0.35">
      <c r="B5" s="187" t="s">
        <v>125</v>
      </c>
      <c r="C5" s="11" t="s">
        <v>87</v>
      </c>
      <c r="D5" s="188" t="s">
        <v>74</v>
      </c>
      <c r="E5" s="188" t="s">
        <v>126</v>
      </c>
      <c r="F5" s="12" t="s">
        <v>89</v>
      </c>
      <c r="G5" s="13" t="s">
        <v>127</v>
      </c>
      <c r="H5" s="14" t="s">
        <v>128</v>
      </c>
      <c r="I5" s="488" t="s">
        <v>129</v>
      </c>
      <c r="J5" s="489"/>
    </row>
    <row r="6" spans="2:10" ht="3.45" customHeight="1" thickBot="1" x14ac:dyDescent="0.35">
      <c r="C6" s="7"/>
      <c r="F6" s="7"/>
      <c r="G6" s="7"/>
      <c r="H6" s="9"/>
    </row>
    <row r="7" spans="2:10" ht="16.2" thickBot="1" x14ac:dyDescent="0.35">
      <c r="B7" s="355" t="s">
        <v>92</v>
      </c>
      <c r="C7" s="356"/>
      <c r="D7" s="356"/>
      <c r="E7" s="356"/>
      <c r="F7" s="356"/>
      <c r="G7" s="356"/>
      <c r="H7" s="357"/>
    </row>
    <row r="8" spans="2:10" ht="4.95" customHeight="1" thickBot="1" x14ac:dyDescent="0.35">
      <c r="C8" s="7"/>
      <c r="F8" s="7"/>
      <c r="G8" s="7"/>
      <c r="H8" s="9"/>
    </row>
    <row r="9" spans="2:10" x14ac:dyDescent="0.3">
      <c r="B9" s="90" t="s">
        <v>130</v>
      </c>
      <c r="C9" s="125">
        <v>50000</v>
      </c>
      <c r="D9" s="109"/>
      <c r="E9" s="99"/>
      <c r="F9" s="125">
        <v>50000</v>
      </c>
      <c r="G9" s="110"/>
      <c r="H9" s="101"/>
    </row>
    <row r="10" spans="2:10" x14ac:dyDescent="0.3">
      <c r="B10" s="91" t="s">
        <v>131</v>
      </c>
      <c r="C10" s="126">
        <v>2000</v>
      </c>
      <c r="D10" s="111"/>
      <c r="E10" s="97"/>
      <c r="F10" s="126">
        <v>2000</v>
      </c>
      <c r="G10" s="112"/>
      <c r="H10" s="103"/>
    </row>
    <row r="11" spans="2:10" ht="16.2" thickBot="1" x14ac:dyDescent="0.35">
      <c r="B11" s="113"/>
      <c r="C11" s="131"/>
      <c r="D11" s="114"/>
      <c r="E11" s="115"/>
      <c r="F11" s="131"/>
      <c r="G11" s="116"/>
      <c r="H11" s="117"/>
    </row>
    <row r="12" spans="2:10" ht="16.2" thickBot="1" x14ac:dyDescent="0.35">
      <c r="B12" s="92"/>
      <c r="C12" s="127"/>
      <c r="D12" s="118"/>
      <c r="E12" s="98"/>
      <c r="F12" s="127"/>
      <c r="G12" s="18"/>
      <c r="H12" s="119"/>
      <c r="I12" s="490">
        <f>SUM(F9:F12)</f>
        <v>52000</v>
      </c>
      <c r="J12" s="491"/>
    </row>
    <row r="13" spans="2:10" ht="4.95" customHeight="1" x14ac:dyDescent="0.3">
      <c r="C13" s="7"/>
      <c r="F13" s="7"/>
      <c r="G13" s="7"/>
      <c r="H13" s="9"/>
    </row>
    <row r="14" spans="2:10" x14ac:dyDescent="0.3">
      <c r="B14" s="487" t="s">
        <v>93</v>
      </c>
      <c r="C14" s="487"/>
      <c r="D14" s="487"/>
      <c r="E14" s="487"/>
      <c r="F14" s="487"/>
      <c r="G14" s="487"/>
      <c r="H14" s="487"/>
    </row>
    <row r="15" spans="2:10" ht="4.95" customHeight="1" thickBot="1" x14ac:dyDescent="0.35">
      <c r="C15" s="7"/>
      <c r="F15" s="7"/>
      <c r="G15" s="7"/>
      <c r="H15" s="9"/>
    </row>
    <row r="16" spans="2:10" x14ac:dyDescent="0.3">
      <c r="B16" s="90" t="s">
        <v>94</v>
      </c>
      <c r="C16" s="125">
        <v>25000</v>
      </c>
      <c r="D16" s="96" t="s">
        <v>132</v>
      </c>
      <c r="E16" s="96" t="s">
        <v>133</v>
      </c>
      <c r="F16" s="125">
        <v>20000</v>
      </c>
      <c r="G16" s="106" t="s">
        <v>134</v>
      </c>
      <c r="H16" s="101" t="s">
        <v>135</v>
      </c>
    </row>
    <row r="17" spans="2:10" x14ac:dyDescent="0.3">
      <c r="B17" s="91" t="s">
        <v>136</v>
      </c>
      <c r="C17" s="126">
        <v>10000</v>
      </c>
      <c r="D17" s="144">
        <v>4.4999999999999998E-2</v>
      </c>
      <c r="E17" s="145">
        <v>0.42857142857142855</v>
      </c>
      <c r="F17" s="126">
        <v>9000</v>
      </c>
      <c r="G17" s="107" t="s">
        <v>134</v>
      </c>
      <c r="H17" s="103" t="s">
        <v>135</v>
      </c>
    </row>
    <row r="18" spans="2:10" ht="16.2" thickBot="1" x14ac:dyDescent="0.35">
      <c r="B18" s="91" t="s">
        <v>137</v>
      </c>
      <c r="C18" s="126">
        <v>4000</v>
      </c>
      <c r="D18" s="111"/>
      <c r="E18" s="111"/>
      <c r="F18" s="126">
        <v>0</v>
      </c>
      <c r="G18" s="107" t="s">
        <v>138</v>
      </c>
      <c r="H18" s="103" t="s">
        <v>135</v>
      </c>
    </row>
    <row r="19" spans="2:10" ht="16.2" thickBot="1" x14ac:dyDescent="0.35">
      <c r="B19" s="92"/>
      <c r="C19" s="127"/>
      <c r="D19" s="118"/>
      <c r="E19" s="118"/>
      <c r="F19" s="127"/>
      <c r="G19" s="108"/>
      <c r="H19" s="105"/>
      <c r="I19" s="474">
        <f>SUM(F16:F19)</f>
        <v>29000</v>
      </c>
      <c r="J19" s="475"/>
    </row>
    <row r="20" spans="2:10" ht="4.95" customHeight="1" x14ac:dyDescent="0.3">
      <c r="C20" s="7"/>
      <c r="F20" s="7"/>
      <c r="G20" s="7"/>
      <c r="H20" s="9"/>
    </row>
    <row r="21" spans="2:10" x14ac:dyDescent="0.3">
      <c r="B21" s="487" t="s">
        <v>95</v>
      </c>
      <c r="C21" s="487"/>
      <c r="D21" s="487"/>
      <c r="E21" s="487"/>
      <c r="F21" s="487"/>
      <c r="G21" s="487"/>
      <c r="H21" s="487"/>
    </row>
    <row r="22" spans="2:10" ht="4.95" customHeight="1" thickBot="1" x14ac:dyDescent="0.35">
      <c r="C22" s="7"/>
      <c r="F22" s="7"/>
      <c r="G22" s="7"/>
      <c r="H22" s="9"/>
    </row>
    <row r="23" spans="2:10" x14ac:dyDescent="0.3">
      <c r="B23" s="90"/>
      <c r="C23" s="125"/>
      <c r="D23" s="99"/>
      <c r="E23" s="99"/>
      <c r="F23" s="125"/>
      <c r="G23" s="100"/>
      <c r="H23" s="101"/>
    </row>
    <row r="24" spans="2:10" ht="16.2" thickBot="1" x14ac:dyDescent="0.35">
      <c r="B24" s="91"/>
      <c r="C24" s="126"/>
      <c r="D24" s="97"/>
      <c r="E24" s="97"/>
      <c r="F24" s="126"/>
      <c r="G24" s="102"/>
      <c r="H24" s="103"/>
    </row>
    <row r="25" spans="2:10" ht="16.2" thickBot="1" x14ac:dyDescent="0.35">
      <c r="B25" s="92"/>
      <c r="C25" s="127"/>
      <c r="D25" s="98"/>
      <c r="E25" s="98"/>
      <c r="F25" s="127"/>
      <c r="G25" s="104"/>
      <c r="H25" s="105"/>
      <c r="I25" s="474">
        <f>SUM(F23:F25)</f>
        <v>0</v>
      </c>
      <c r="J25" s="475"/>
    </row>
    <row r="26" spans="2:10" ht="1.95" customHeight="1" thickBot="1" x14ac:dyDescent="0.35">
      <c r="C26" s="7"/>
      <c r="F26" s="7"/>
      <c r="G26" s="7"/>
      <c r="H26" s="9"/>
    </row>
    <row r="27" spans="2:10" ht="0.45" customHeight="1" thickBot="1" x14ac:dyDescent="0.35">
      <c r="C27" s="7"/>
      <c r="F27" s="7"/>
      <c r="G27" s="7"/>
      <c r="H27" s="9"/>
    </row>
    <row r="28" spans="2:10" ht="16.2" thickBot="1" x14ac:dyDescent="0.35">
      <c r="C28" s="7"/>
      <c r="F28" s="10" t="s">
        <v>139</v>
      </c>
      <c r="G28" s="452" t="s">
        <v>140</v>
      </c>
      <c r="H28" s="453"/>
      <c r="I28" s="479">
        <f>SUM(I12,I19,I25)</f>
        <v>81000</v>
      </c>
      <c r="J28" s="480"/>
    </row>
    <row r="29" spans="2:10" ht="10.95" customHeight="1" thickBot="1" x14ac:dyDescent="0.35">
      <c r="B29" s="476" t="s">
        <v>48</v>
      </c>
      <c r="C29" s="477"/>
      <c r="D29" s="477"/>
      <c r="E29" s="477"/>
      <c r="F29" s="477"/>
      <c r="G29" s="477"/>
      <c r="H29" s="477"/>
      <c r="I29" s="477"/>
      <c r="J29" s="478"/>
    </row>
    <row r="32" spans="2:10" hidden="1" x14ac:dyDescent="0.3">
      <c r="B32" t="s">
        <v>141</v>
      </c>
    </row>
    <row r="33" spans="2:2" hidden="1" x14ac:dyDescent="0.3">
      <c r="B33" t="s">
        <v>135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H20"/>
  <sheetViews>
    <sheetView showGridLines="0" topLeftCell="A6" zoomScale="115" zoomScaleNormal="115" workbookViewId="0">
      <selection activeCell="K15" sqref="K15"/>
    </sheetView>
  </sheetViews>
  <sheetFormatPr baseColWidth="10" defaultColWidth="11" defaultRowHeight="15.6" x14ac:dyDescent="0.3"/>
  <cols>
    <col min="1" max="1" width="5" customWidth="1"/>
    <col min="2" max="2" width="36.296875" customWidth="1"/>
    <col min="3" max="3" width="7.796875" style="315" customWidth="1"/>
    <col min="4" max="4" width="19.19921875" customWidth="1"/>
    <col min="5" max="5" width="15.5" customWidth="1"/>
    <col min="8" max="8" width="13" customWidth="1"/>
  </cols>
  <sheetData>
    <row r="1" spans="2:8" ht="4.2" customHeight="1" thickBot="1" x14ac:dyDescent="0.35"/>
    <row r="2" spans="2:8" ht="19.95" customHeight="1" x14ac:dyDescent="0.3">
      <c r="B2" s="382" t="s">
        <v>142</v>
      </c>
      <c r="C2" s="383"/>
      <c r="D2" s="383"/>
      <c r="E2" s="383"/>
      <c r="F2" s="383"/>
      <c r="G2" s="383"/>
      <c r="H2" s="384"/>
    </row>
    <row r="3" spans="2:8" ht="19.95" customHeight="1" thickBot="1" x14ac:dyDescent="0.35">
      <c r="B3" s="385"/>
      <c r="C3" s="386"/>
      <c r="D3" s="386"/>
      <c r="E3" s="386"/>
      <c r="F3" s="386"/>
      <c r="G3" s="386"/>
      <c r="H3" s="387"/>
    </row>
    <row r="4" spans="2:8" ht="4.95" customHeight="1" thickBot="1" x14ac:dyDescent="0.35"/>
    <row r="5" spans="2:8" ht="16.95" customHeight="1" thickBot="1" x14ac:dyDescent="0.35">
      <c r="B5" s="497" t="s">
        <v>143</v>
      </c>
      <c r="C5" s="498"/>
      <c r="D5" s="498"/>
      <c r="E5" s="498"/>
      <c r="F5" s="499"/>
      <c r="G5" s="495">
        <v>40000</v>
      </c>
      <c r="H5" s="496"/>
    </row>
    <row r="6" spans="2:8" ht="16.2" thickBot="1" x14ac:dyDescent="0.35">
      <c r="B6" s="417" t="s">
        <v>144</v>
      </c>
      <c r="C6" s="418"/>
      <c r="D6" s="418"/>
      <c r="E6" s="418"/>
      <c r="F6" s="418"/>
      <c r="G6" s="418"/>
      <c r="H6" s="419"/>
    </row>
    <row r="7" spans="2:8" ht="4.95" customHeight="1" thickBot="1" x14ac:dyDescent="0.35"/>
    <row r="8" spans="2:8" ht="16.2" thickBot="1" x14ac:dyDescent="0.35">
      <c r="B8" s="210" t="s">
        <v>145</v>
      </c>
      <c r="C8" s="318" t="s">
        <v>237</v>
      </c>
      <c r="D8" s="211" t="s">
        <v>146</v>
      </c>
      <c r="E8" s="211" t="s">
        <v>239</v>
      </c>
      <c r="F8" s="500" t="s">
        <v>38</v>
      </c>
      <c r="G8" s="500"/>
      <c r="H8" s="501"/>
    </row>
    <row r="9" spans="2:8" ht="6" customHeight="1" x14ac:dyDescent="0.3"/>
    <row r="10" spans="2:8" x14ac:dyDescent="0.3">
      <c r="B10" s="319" t="s">
        <v>233</v>
      </c>
      <c r="C10" s="320"/>
      <c r="D10" s="319"/>
      <c r="E10" s="319"/>
      <c r="F10" s="492"/>
      <c r="G10" s="493"/>
      <c r="H10" s="494"/>
    </row>
    <row r="11" spans="2:8" x14ac:dyDescent="0.3">
      <c r="B11" s="319" t="s">
        <v>226</v>
      </c>
      <c r="C11" s="320" t="s">
        <v>238</v>
      </c>
      <c r="D11" s="319"/>
      <c r="E11" s="319"/>
      <c r="F11" s="492"/>
      <c r="G11" s="493"/>
      <c r="H11" s="494"/>
    </row>
    <row r="12" spans="2:8" x14ac:dyDescent="0.3">
      <c r="B12" s="319" t="s">
        <v>227</v>
      </c>
      <c r="C12" s="320"/>
      <c r="D12" s="319"/>
      <c r="E12" s="319"/>
      <c r="F12" s="492"/>
      <c r="G12" s="493"/>
      <c r="H12" s="494"/>
    </row>
    <row r="13" spans="2:8" x14ac:dyDescent="0.3">
      <c r="B13" s="319" t="s">
        <v>228</v>
      </c>
      <c r="C13" s="320"/>
      <c r="D13" s="319"/>
      <c r="E13" s="319"/>
      <c r="F13" s="492"/>
      <c r="G13" s="493"/>
      <c r="H13" s="494"/>
    </row>
    <row r="14" spans="2:8" x14ac:dyDescent="0.3">
      <c r="B14" s="319" t="s">
        <v>229</v>
      </c>
      <c r="C14" s="320"/>
      <c r="D14" s="319"/>
      <c r="E14" s="319"/>
      <c r="F14" s="492"/>
      <c r="G14" s="493"/>
      <c r="H14" s="494"/>
    </row>
    <row r="15" spans="2:8" x14ac:dyDescent="0.3">
      <c r="B15" s="319" t="s">
        <v>236</v>
      </c>
      <c r="C15" s="320"/>
      <c r="D15" s="319"/>
      <c r="E15" s="319"/>
      <c r="F15" s="492"/>
      <c r="G15" s="493"/>
      <c r="H15" s="494"/>
    </row>
    <row r="16" spans="2:8" x14ac:dyDescent="0.3">
      <c r="B16" s="319" t="s">
        <v>230</v>
      </c>
      <c r="C16" s="320"/>
      <c r="D16" s="319"/>
      <c r="E16" s="319"/>
      <c r="F16" s="492"/>
      <c r="G16" s="493"/>
      <c r="H16" s="494"/>
    </row>
    <row r="17" spans="2:8" x14ac:dyDescent="0.3">
      <c r="B17" s="319" t="s">
        <v>231</v>
      </c>
      <c r="C17" s="320" t="s">
        <v>238</v>
      </c>
      <c r="D17" s="319"/>
      <c r="E17" s="319"/>
      <c r="F17" s="492"/>
      <c r="G17" s="493"/>
      <c r="H17" s="494"/>
    </row>
    <row r="18" spans="2:8" x14ac:dyDescent="0.3">
      <c r="B18" s="319" t="s">
        <v>232</v>
      </c>
      <c r="C18" s="320"/>
      <c r="D18" s="319"/>
      <c r="E18" s="319"/>
      <c r="F18" s="492"/>
      <c r="G18" s="493"/>
      <c r="H18" s="494"/>
    </row>
    <row r="19" spans="2:8" x14ac:dyDescent="0.3">
      <c r="B19" s="319" t="s">
        <v>235</v>
      </c>
      <c r="C19" s="320" t="s">
        <v>238</v>
      </c>
      <c r="D19" s="319"/>
      <c r="E19" s="319"/>
      <c r="F19" s="492"/>
      <c r="G19" s="493"/>
      <c r="H19" s="494"/>
    </row>
    <row r="20" spans="2:8" x14ac:dyDescent="0.3">
      <c r="B20" s="319" t="s">
        <v>234</v>
      </c>
      <c r="C20" s="320"/>
      <c r="D20" s="319"/>
      <c r="E20" s="319"/>
      <c r="F20" s="492"/>
      <c r="G20" s="493"/>
      <c r="H20" s="494"/>
    </row>
  </sheetData>
  <mergeCells count="16">
    <mergeCell ref="F20:H20"/>
    <mergeCell ref="F14:H14"/>
    <mergeCell ref="F15:H15"/>
    <mergeCell ref="F16:H16"/>
    <mergeCell ref="F17:H17"/>
    <mergeCell ref="F18:H18"/>
    <mergeCell ref="B2:H3"/>
    <mergeCell ref="B5:F5"/>
    <mergeCell ref="B6:H6"/>
    <mergeCell ref="F8:H8"/>
    <mergeCell ref="F19:H19"/>
    <mergeCell ref="F10:H10"/>
    <mergeCell ref="F11:H11"/>
    <mergeCell ref="F12:H12"/>
    <mergeCell ref="F13:H13"/>
    <mergeCell ref="G5:H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69921875" customWidth="1"/>
    <col min="5" max="5" width="2.19921875" customWidth="1"/>
    <col min="8" max="8" width="10.19921875" customWidth="1"/>
    <col min="9" max="9" width="2.19921875" customWidth="1"/>
    <col min="12" max="12" width="11.69921875" customWidth="1"/>
    <col min="13" max="13" width="2.19921875" customWidth="1"/>
    <col min="15" max="15" width="19.5" customWidth="1"/>
  </cols>
  <sheetData>
    <row r="3" spans="2:16" ht="9.4499999999999993" customHeight="1" thickBot="1" x14ac:dyDescent="0.35"/>
    <row r="4" spans="2:16" ht="21" customHeight="1" x14ac:dyDescent="0.3">
      <c r="B4" s="527" t="s">
        <v>147</v>
      </c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9"/>
    </row>
    <row r="5" spans="2:16" ht="16.2" thickBot="1" x14ac:dyDescent="0.35">
      <c r="B5" s="530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2"/>
    </row>
    <row r="8" spans="2:16" ht="16.2" thickBot="1" x14ac:dyDescent="0.35"/>
    <row r="9" spans="2:16" x14ac:dyDescent="0.3">
      <c r="B9" s="371" t="s">
        <v>148</v>
      </c>
      <c r="C9" s="372"/>
      <c r="D9" s="450"/>
      <c r="F9" s="420" t="s">
        <v>149</v>
      </c>
      <c r="G9" s="533"/>
      <c r="H9" s="534"/>
      <c r="J9" s="420" t="s">
        <v>150</v>
      </c>
      <c r="K9" s="533"/>
      <c r="L9" s="534"/>
      <c r="N9" s="371" t="s">
        <v>151</v>
      </c>
      <c r="O9" s="450"/>
    </row>
    <row r="10" spans="2:16" ht="16.2" thickBot="1" x14ac:dyDescent="0.35">
      <c r="B10" s="537"/>
      <c r="C10" s="401"/>
      <c r="D10" s="538"/>
      <c r="F10" s="421"/>
      <c r="G10" s="535"/>
      <c r="H10" s="536"/>
      <c r="J10" s="421"/>
      <c r="K10" s="535"/>
      <c r="L10" s="536"/>
      <c r="N10" s="451"/>
      <c r="O10" s="453"/>
    </row>
    <row r="11" spans="2:16" ht="15" customHeight="1" x14ac:dyDescent="0.3">
      <c r="B11" s="502" t="s">
        <v>152</v>
      </c>
      <c r="C11" s="503"/>
      <c r="D11" s="504"/>
      <c r="F11" s="508" t="s">
        <v>153</v>
      </c>
      <c r="G11" s="509"/>
      <c r="H11" s="510"/>
      <c r="J11" s="517" t="s">
        <v>154</v>
      </c>
      <c r="K11" s="518"/>
      <c r="L11" s="519"/>
      <c r="N11" s="508" t="s">
        <v>155</v>
      </c>
      <c r="O11" s="526"/>
    </row>
    <row r="12" spans="2:16" x14ac:dyDescent="0.3">
      <c r="B12" s="502"/>
      <c r="C12" s="503"/>
      <c r="D12" s="504"/>
      <c r="F12" s="511"/>
      <c r="G12" s="512"/>
      <c r="H12" s="513"/>
      <c r="J12" s="520"/>
      <c r="K12" s="521"/>
      <c r="L12" s="522"/>
      <c r="N12" s="502"/>
      <c r="O12" s="504"/>
    </row>
    <row r="13" spans="2:16" x14ac:dyDescent="0.3">
      <c r="B13" s="502"/>
      <c r="C13" s="503"/>
      <c r="D13" s="504"/>
      <c r="F13" s="511"/>
      <c r="G13" s="512"/>
      <c r="H13" s="513"/>
      <c r="J13" s="520"/>
      <c r="K13" s="521"/>
      <c r="L13" s="522"/>
      <c r="N13" s="502"/>
      <c r="O13" s="504"/>
    </row>
    <row r="14" spans="2:16" x14ac:dyDescent="0.3">
      <c r="B14" s="502"/>
      <c r="C14" s="503"/>
      <c r="D14" s="504"/>
      <c r="F14" s="511"/>
      <c r="G14" s="512"/>
      <c r="H14" s="513"/>
      <c r="J14" s="520"/>
      <c r="K14" s="521"/>
      <c r="L14" s="522"/>
      <c r="N14" s="502"/>
      <c r="O14" s="504"/>
      <c r="P14" s="6"/>
    </row>
    <row r="15" spans="2:16" x14ac:dyDescent="0.3">
      <c r="B15" s="502"/>
      <c r="C15" s="503"/>
      <c r="D15" s="504"/>
      <c r="F15" s="511"/>
      <c r="G15" s="512"/>
      <c r="H15" s="513"/>
      <c r="J15" s="520"/>
      <c r="K15" s="521"/>
      <c r="L15" s="522"/>
      <c r="N15" s="502"/>
      <c r="O15" s="504"/>
      <c r="P15" s="6"/>
    </row>
    <row r="16" spans="2:16" x14ac:dyDescent="0.3">
      <c r="B16" s="502"/>
      <c r="C16" s="503"/>
      <c r="D16" s="504"/>
      <c r="F16" s="511"/>
      <c r="G16" s="512"/>
      <c r="H16" s="513"/>
      <c r="J16" s="520"/>
      <c r="K16" s="521"/>
      <c r="L16" s="522"/>
      <c r="N16" s="502"/>
      <c r="O16" s="504"/>
      <c r="P16" s="6"/>
    </row>
    <row r="17" spans="2:16" x14ac:dyDescent="0.3">
      <c r="B17" s="502"/>
      <c r="C17" s="503"/>
      <c r="D17" s="504"/>
      <c r="F17" s="511"/>
      <c r="G17" s="512"/>
      <c r="H17" s="513"/>
      <c r="J17" s="520"/>
      <c r="K17" s="521"/>
      <c r="L17" s="522"/>
      <c r="N17" s="502"/>
      <c r="O17" s="504"/>
      <c r="P17" s="6"/>
    </row>
    <row r="18" spans="2:16" ht="16.95" customHeight="1" x14ac:dyDescent="0.3">
      <c r="B18" s="502"/>
      <c r="C18" s="503"/>
      <c r="D18" s="504"/>
      <c r="F18" s="511"/>
      <c r="G18" s="512"/>
      <c r="H18" s="513"/>
      <c r="J18" s="520"/>
      <c r="K18" s="521"/>
      <c r="L18" s="522"/>
      <c r="N18" s="502"/>
      <c r="O18" s="504"/>
      <c r="P18" s="6"/>
    </row>
    <row r="19" spans="2:16" ht="15.45" customHeight="1" x14ac:dyDescent="0.3">
      <c r="B19" s="502"/>
      <c r="C19" s="503"/>
      <c r="D19" s="504"/>
      <c r="F19" s="511"/>
      <c r="G19" s="512"/>
      <c r="H19" s="513"/>
      <c r="J19" s="520"/>
      <c r="K19" s="521"/>
      <c r="L19" s="522"/>
      <c r="N19" s="502"/>
      <c r="O19" s="504"/>
    </row>
    <row r="20" spans="2:16" x14ac:dyDescent="0.3">
      <c r="B20" s="502"/>
      <c r="C20" s="503"/>
      <c r="D20" s="504"/>
      <c r="F20" s="511"/>
      <c r="G20" s="512"/>
      <c r="H20" s="513"/>
      <c r="J20" s="520"/>
      <c r="K20" s="521"/>
      <c r="L20" s="522"/>
      <c r="N20" s="502"/>
      <c r="O20" s="504"/>
    </row>
    <row r="21" spans="2:16" x14ac:dyDescent="0.3">
      <c r="B21" s="502"/>
      <c r="C21" s="503"/>
      <c r="D21" s="504"/>
      <c r="F21" s="511"/>
      <c r="G21" s="512"/>
      <c r="H21" s="513"/>
      <c r="J21" s="520"/>
      <c r="K21" s="521"/>
      <c r="L21" s="522"/>
      <c r="N21" s="502"/>
      <c r="O21" s="504"/>
    </row>
    <row r="22" spans="2:16" x14ac:dyDescent="0.3">
      <c r="B22" s="502"/>
      <c r="C22" s="503"/>
      <c r="D22" s="504"/>
      <c r="F22" s="511"/>
      <c r="G22" s="512"/>
      <c r="H22" s="513"/>
      <c r="J22" s="520"/>
      <c r="K22" s="521"/>
      <c r="L22" s="522"/>
      <c r="N22" s="502"/>
      <c r="O22" s="504"/>
    </row>
    <row r="23" spans="2:16" ht="16.2" thickBot="1" x14ac:dyDescent="0.35">
      <c r="B23" s="505"/>
      <c r="C23" s="506"/>
      <c r="D23" s="507"/>
      <c r="F23" s="514"/>
      <c r="G23" s="515"/>
      <c r="H23" s="516"/>
      <c r="J23" s="523"/>
      <c r="K23" s="524"/>
      <c r="L23" s="525"/>
      <c r="N23" s="505"/>
      <c r="O23" s="507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Feuil1</vt:lpstr>
      <vt:lpstr>Commentaire Compliance</vt:lpstr>
      <vt:lpstr>Commentaires Suivi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2024-10-16T17:07:41Z</dcterms:modified>
  <cp:category/>
  <cp:contentStatus/>
</cp:coreProperties>
</file>