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UAWEI MATEBOOK\Desktop\UC\PAC\"/>
    </mc:Choice>
  </mc:AlternateContent>
  <xr:revisionPtr revIDLastSave="0" documentId="13_ncr:1_{4A15D7B2-381D-4C1D-97AD-E456D373C14B}" xr6:coauthVersionLast="47" xr6:coauthVersionMax="47" xr10:uidLastSave="{00000000-0000-0000-0000-000000000000}"/>
  <bookViews>
    <workbookView xWindow="3510" yWindow="3510" windowWidth="20220" windowHeight="14085" tabRatio="708" activeTab="1" xr2:uid="{809918F1-AA93-4323-8FED-8F546DD4CA17}"/>
  </bookViews>
  <sheets>
    <sheet name="Hoja1" sheetId="29" r:id="rId1"/>
    <sheet name="Reporte" sheetId="3" r:id="rId2"/>
    <sheet name="Proyección" sheetId="1" r:id="rId3"/>
  </sheets>
  <definedNames>
    <definedName name="_xlnm._FilterDatabase" localSheetId="2" hidden="1">Proyección!#REF!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1" l="1"/>
  <c r="N35" i="1"/>
  <c r="O35" i="1"/>
  <c r="L35" i="1"/>
  <c r="G8" i="3"/>
  <c r="A187" i="3"/>
  <c r="B187" i="3"/>
  <c r="C187" i="3"/>
  <c r="D187" i="3"/>
  <c r="F187" i="3"/>
  <c r="G187" i="3"/>
  <c r="H187" i="3"/>
  <c r="P187" i="3"/>
  <c r="S187" i="3"/>
  <c r="Q187" i="3" s="1"/>
  <c r="U187" i="3"/>
  <c r="W187" i="3"/>
  <c r="Z187" i="3"/>
  <c r="AC187" i="3"/>
  <c r="A188" i="3"/>
  <c r="B188" i="3"/>
  <c r="C188" i="3"/>
  <c r="D188" i="3"/>
  <c r="F188" i="3"/>
  <c r="G188" i="3"/>
  <c r="H188" i="3"/>
  <c r="P188" i="3"/>
  <c r="S188" i="3"/>
  <c r="Q188" i="3" s="1"/>
  <c r="U188" i="3"/>
  <c r="W188" i="3"/>
  <c r="Z188" i="3"/>
  <c r="AC188" i="3"/>
  <c r="A189" i="3"/>
  <c r="B189" i="3"/>
  <c r="C189" i="3"/>
  <c r="D189" i="3"/>
  <c r="F189" i="3"/>
  <c r="G189" i="3"/>
  <c r="H189" i="3"/>
  <c r="P189" i="3"/>
  <c r="S189" i="3"/>
  <c r="U189" i="3"/>
  <c r="W189" i="3"/>
  <c r="Z189" i="3"/>
  <c r="AC189" i="3"/>
  <c r="A190" i="3"/>
  <c r="B190" i="3"/>
  <c r="C190" i="3"/>
  <c r="D190" i="3"/>
  <c r="F190" i="3"/>
  <c r="G190" i="3"/>
  <c r="H190" i="3"/>
  <c r="P190" i="3"/>
  <c r="S190" i="3"/>
  <c r="Q190" i="3" s="1"/>
  <c r="U190" i="3"/>
  <c r="W190" i="3"/>
  <c r="Z190" i="3"/>
  <c r="AC190" i="3"/>
  <c r="A191" i="3"/>
  <c r="B191" i="3"/>
  <c r="C191" i="3"/>
  <c r="D191" i="3"/>
  <c r="F191" i="3"/>
  <c r="G191" i="3"/>
  <c r="H191" i="3"/>
  <c r="P191" i="3"/>
  <c r="S191" i="3"/>
  <c r="Q191" i="3" s="1"/>
  <c r="U191" i="3"/>
  <c r="W191" i="3"/>
  <c r="Z191" i="3"/>
  <c r="AC191" i="3"/>
  <c r="A192" i="3"/>
  <c r="B192" i="3"/>
  <c r="C192" i="3"/>
  <c r="D192" i="3"/>
  <c r="F192" i="3"/>
  <c r="G192" i="3"/>
  <c r="H192" i="3"/>
  <c r="P192" i="3"/>
  <c r="S192" i="3"/>
  <c r="U192" i="3"/>
  <c r="W192" i="3"/>
  <c r="Z192" i="3"/>
  <c r="AC192" i="3"/>
  <c r="A193" i="3"/>
  <c r="B193" i="3"/>
  <c r="C193" i="3"/>
  <c r="D193" i="3"/>
  <c r="F193" i="3"/>
  <c r="G193" i="3"/>
  <c r="H193" i="3"/>
  <c r="P193" i="3"/>
  <c r="S193" i="3"/>
  <c r="Q193" i="3" s="1"/>
  <c r="U193" i="3"/>
  <c r="W193" i="3"/>
  <c r="Z193" i="3"/>
  <c r="AC193" i="3"/>
  <c r="A194" i="3"/>
  <c r="B194" i="3"/>
  <c r="C194" i="3"/>
  <c r="D194" i="3"/>
  <c r="F194" i="3"/>
  <c r="G194" i="3"/>
  <c r="H194" i="3"/>
  <c r="P194" i="3"/>
  <c r="S194" i="3"/>
  <c r="U194" i="3"/>
  <c r="W194" i="3"/>
  <c r="Z194" i="3"/>
  <c r="AC194" i="3"/>
  <c r="A195" i="3"/>
  <c r="B195" i="3"/>
  <c r="C195" i="3"/>
  <c r="D195" i="3"/>
  <c r="F195" i="3"/>
  <c r="G195" i="3"/>
  <c r="H195" i="3"/>
  <c r="P195" i="3"/>
  <c r="S195" i="3"/>
  <c r="Q195" i="3" s="1"/>
  <c r="U195" i="3"/>
  <c r="W195" i="3"/>
  <c r="Z195" i="3"/>
  <c r="AC195" i="3"/>
  <c r="A196" i="3"/>
  <c r="B196" i="3"/>
  <c r="C196" i="3"/>
  <c r="D196" i="3"/>
  <c r="F196" i="3"/>
  <c r="G196" i="3"/>
  <c r="H196" i="3"/>
  <c r="P196" i="3"/>
  <c r="S196" i="3"/>
  <c r="U196" i="3"/>
  <c r="W196" i="3"/>
  <c r="Z196" i="3"/>
  <c r="AC196" i="3"/>
  <c r="A197" i="3"/>
  <c r="B197" i="3"/>
  <c r="C197" i="3"/>
  <c r="D197" i="3"/>
  <c r="F197" i="3"/>
  <c r="G197" i="3"/>
  <c r="H197" i="3"/>
  <c r="P197" i="3"/>
  <c r="S197" i="3"/>
  <c r="U197" i="3"/>
  <c r="W197" i="3"/>
  <c r="Z197" i="3"/>
  <c r="AC197" i="3"/>
  <c r="A198" i="3"/>
  <c r="B198" i="3"/>
  <c r="C198" i="3"/>
  <c r="D198" i="3"/>
  <c r="F198" i="3"/>
  <c r="G198" i="3"/>
  <c r="H198" i="3"/>
  <c r="P198" i="3"/>
  <c r="S198" i="3"/>
  <c r="Q198" i="3" s="1"/>
  <c r="U198" i="3"/>
  <c r="W198" i="3"/>
  <c r="Z198" i="3"/>
  <c r="AC198" i="3"/>
  <c r="A199" i="3"/>
  <c r="B199" i="3"/>
  <c r="C199" i="3"/>
  <c r="D199" i="3"/>
  <c r="F199" i="3"/>
  <c r="G199" i="3"/>
  <c r="H199" i="3"/>
  <c r="P199" i="3"/>
  <c r="S199" i="3"/>
  <c r="Q199" i="3" s="1"/>
  <c r="U199" i="3"/>
  <c r="W199" i="3"/>
  <c r="Z199" i="3"/>
  <c r="AC199" i="3"/>
  <c r="AA190" i="3" l="1"/>
  <c r="AA199" i="3"/>
  <c r="AA198" i="3"/>
  <c r="J198" i="3"/>
  <c r="AB191" i="3"/>
  <c r="AA192" i="3"/>
  <c r="AA191" i="3"/>
  <c r="AA193" i="3"/>
  <c r="AA187" i="3"/>
  <c r="AA188" i="3"/>
  <c r="AB189" i="3"/>
  <c r="AA189" i="3"/>
  <c r="J200" i="3"/>
  <c r="AB192" i="3"/>
  <c r="J199" i="3"/>
  <c r="AA194" i="3"/>
  <c r="AB194" i="3"/>
  <c r="AA197" i="3"/>
  <c r="AA196" i="3"/>
  <c r="AB197" i="3"/>
  <c r="AB196" i="3"/>
  <c r="Q197" i="3"/>
  <c r="AB195" i="3"/>
  <c r="Q192" i="3"/>
  <c r="AB193" i="3"/>
  <c r="AB188" i="3"/>
  <c r="Q189" i="3"/>
  <c r="Q196" i="3"/>
  <c r="AB190" i="3"/>
  <c r="AA195" i="3"/>
  <c r="AB198" i="3"/>
  <c r="AB187" i="3"/>
  <c r="Q194" i="3"/>
  <c r="AB199" i="3"/>
  <c r="A164" i="3"/>
  <c r="B164" i="3"/>
  <c r="C164" i="3"/>
  <c r="D164" i="3"/>
  <c r="F164" i="3"/>
  <c r="G164" i="3"/>
  <c r="H164" i="3"/>
  <c r="P164" i="3"/>
  <c r="S164" i="3"/>
  <c r="Q164" i="3" s="1"/>
  <c r="W164" i="3"/>
  <c r="Z164" i="3"/>
  <c r="AC164" i="3"/>
  <c r="A165" i="3"/>
  <c r="B165" i="3"/>
  <c r="C165" i="3"/>
  <c r="D165" i="3"/>
  <c r="F165" i="3"/>
  <c r="G165" i="3"/>
  <c r="H165" i="3"/>
  <c r="P165" i="3"/>
  <c r="S165" i="3"/>
  <c r="Q165" i="3" s="1"/>
  <c r="W165" i="3"/>
  <c r="Z165" i="3"/>
  <c r="AC165" i="3"/>
  <c r="A166" i="3"/>
  <c r="B166" i="3"/>
  <c r="C166" i="3"/>
  <c r="D166" i="3"/>
  <c r="F166" i="3"/>
  <c r="G166" i="3"/>
  <c r="H166" i="3"/>
  <c r="P166" i="3"/>
  <c r="S166" i="3"/>
  <c r="Q166" i="3" s="1"/>
  <c r="W166" i="3"/>
  <c r="Z166" i="3"/>
  <c r="AC166" i="3"/>
  <c r="A167" i="3"/>
  <c r="B167" i="3"/>
  <c r="C167" i="3"/>
  <c r="D167" i="3"/>
  <c r="F167" i="3"/>
  <c r="G167" i="3"/>
  <c r="H167" i="3"/>
  <c r="P167" i="3"/>
  <c r="S167" i="3"/>
  <c r="Q167" i="3" s="1"/>
  <c r="U167" i="3"/>
  <c r="W167" i="3"/>
  <c r="Z167" i="3"/>
  <c r="AC167" i="3"/>
  <c r="A168" i="3"/>
  <c r="B168" i="3"/>
  <c r="C168" i="3"/>
  <c r="D168" i="3"/>
  <c r="F168" i="3"/>
  <c r="G168" i="3"/>
  <c r="H168" i="3"/>
  <c r="P168" i="3"/>
  <c r="S168" i="3"/>
  <c r="Q168" i="3" s="1"/>
  <c r="U168" i="3"/>
  <c r="W168" i="3"/>
  <c r="Z168" i="3"/>
  <c r="AC168" i="3"/>
  <c r="A169" i="3"/>
  <c r="B169" i="3"/>
  <c r="C169" i="3"/>
  <c r="D169" i="3"/>
  <c r="F169" i="3"/>
  <c r="G169" i="3"/>
  <c r="H169" i="3"/>
  <c r="P169" i="3"/>
  <c r="S169" i="3"/>
  <c r="U169" i="3"/>
  <c r="W169" i="3"/>
  <c r="Z169" i="3"/>
  <c r="AC169" i="3"/>
  <c r="A170" i="3"/>
  <c r="B170" i="3"/>
  <c r="C170" i="3"/>
  <c r="D170" i="3"/>
  <c r="F170" i="3"/>
  <c r="G170" i="3"/>
  <c r="H170" i="3"/>
  <c r="P170" i="3"/>
  <c r="S170" i="3"/>
  <c r="Q170" i="3" s="1"/>
  <c r="U170" i="3"/>
  <c r="W170" i="3"/>
  <c r="Z170" i="3"/>
  <c r="AC170" i="3"/>
  <c r="A171" i="3"/>
  <c r="B171" i="3"/>
  <c r="C171" i="3"/>
  <c r="D171" i="3"/>
  <c r="F171" i="3"/>
  <c r="G171" i="3"/>
  <c r="H171" i="3"/>
  <c r="P171" i="3"/>
  <c r="S171" i="3"/>
  <c r="Q171" i="3" s="1"/>
  <c r="U171" i="3"/>
  <c r="W171" i="3"/>
  <c r="Z171" i="3"/>
  <c r="AC171" i="3"/>
  <c r="A172" i="3"/>
  <c r="B172" i="3"/>
  <c r="C172" i="3"/>
  <c r="D172" i="3"/>
  <c r="F172" i="3"/>
  <c r="G172" i="3"/>
  <c r="H172" i="3"/>
  <c r="P172" i="3"/>
  <c r="S172" i="3"/>
  <c r="U172" i="3"/>
  <c r="W172" i="3"/>
  <c r="Z172" i="3"/>
  <c r="AC172" i="3"/>
  <c r="A173" i="3"/>
  <c r="B173" i="3"/>
  <c r="C173" i="3"/>
  <c r="D173" i="3"/>
  <c r="F173" i="3"/>
  <c r="G173" i="3"/>
  <c r="H173" i="3"/>
  <c r="P173" i="3"/>
  <c r="S173" i="3"/>
  <c r="Q173" i="3" s="1"/>
  <c r="U173" i="3"/>
  <c r="W173" i="3"/>
  <c r="Z173" i="3"/>
  <c r="AC173" i="3"/>
  <c r="A174" i="3"/>
  <c r="B174" i="3"/>
  <c r="C174" i="3"/>
  <c r="D174" i="3"/>
  <c r="F174" i="3"/>
  <c r="G174" i="3"/>
  <c r="H174" i="3"/>
  <c r="P174" i="3"/>
  <c r="S174" i="3"/>
  <c r="U174" i="3"/>
  <c r="W174" i="3"/>
  <c r="Z174" i="3"/>
  <c r="AC174" i="3"/>
  <c r="A175" i="3"/>
  <c r="B175" i="3"/>
  <c r="C175" i="3"/>
  <c r="D175" i="3"/>
  <c r="F175" i="3"/>
  <c r="G175" i="3"/>
  <c r="H175" i="3"/>
  <c r="P175" i="3"/>
  <c r="S175" i="3"/>
  <c r="U175" i="3"/>
  <c r="W175" i="3"/>
  <c r="Z175" i="3"/>
  <c r="AC175" i="3"/>
  <c r="A176" i="3"/>
  <c r="B176" i="3"/>
  <c r="C176" i="3"/>
  <c r="D176" i="3"/>
  <c r="F176" i="3"/>
  <c r="G176" i="3"/>
  <c r="H176" i="3"/>
  <c r="P176" i="3"/>
  <c r="S176" i="3"/>
  <c r="U176" i="3"/>
  <c r="W176" i="3"/>
  <c r="Z176" i="3"/>
  <c r="AC176" i="3"/>
  <c r="A177" i="3"/>
  <c r="B177" i="3"/>
  <c r="C177" i="3"/>
  <c r="D177" i="3"/>
  <c r="F177" i="3"/>
  <c r="G177" i="3"/>
  <c r="H177" i="3"/>
  <c r="P177" i="3"/>
  <c r="S177" i="3"/>
  <c r="Q177" i="3" s="1"/>
  <c r="U177" i="3"/>
  <c r="W177" i="3"/>
  <c r="Z177" i="3"/>
  <c r="AC177" i="3"/>
  <c r="A178" i="3"/>
  <c r="B178" i="3"/>
  <c r="C178" i="3"/>
  <c r="D178" i="3"/>
  <c r="F178" i="3"/>
  <c r="G178" i="3"/>
  <c r="H178" i="3"/>
  <c r="P178" i="3"/>
  <c r="S178" i="3"/>
  <c r="Q178" i="3" s="1"/>
  <c r="U178" i="3"/>
  <c r="W178" i="3"/>
  <c r="Z178" i="3"/>
  <c r="AC178" i="3"/>
  <c r="A179" i="3"/>
  <c r="B179" i="3"/>
  <c r="C179" i="3"/>
  <c r="D179" i="3"/>
  <c r="F179" i="3"/>
  <c r="G179" i="3"/>
  <c r="H179" i="3"/>
  <c r="P179" i="3"/>
  <c r="S179" i="3"/>
  <c r="Q179" i="3" s="1"/>
  <c r="U179" i="3"/>
  <c r="W179" i="3"/>
  <c r="Z179" i="3"/>
  <c r="AC179" i="3"/>
  <c r="A180" i="3"/>
  <c r="B180" i="3"/>
  <c r="C180" i="3"/>
  <c r="D180" i="3"/>
  <c r="F180" i="3"/>
  <c r="G180" i="3"/>
  <c r="H180" i="3"/>
  <c r="P180" i="3"/>
  <c r="S180" i="3"/>
  <c r="U180" i="3"/>
  <c r="W180" i="3"/>
  <c r="Z180" i="3"/>
  <c r="AC180" i="3"/>
  <c r="A181" i="3"/>
  <c r="B181" i="3"/>
  <c r="C181" i="3"/>
  <c r="D181" i="3"/>
  <c r="F181" i="3"/>
  <c r="G181" i="3"/>
  <c r="H181" i="3"/>
  <c r="P181" i="3"/>
  <c r="S181" i="3"/>
  <c r="U181" i="3"/>
  <c r="W181" i="3"/>
  <c r="Z181" i="3"/>
  <c r="AC181" i="3"/>
  <c r="A182" i="3"/>
  <c r="B182" i="3"/>
  <c r="C182" i="3"/>
  <c r="D182" i="3"/>
  <c r="F182" i="3"/>
  <c r="G182" i="3"/>
  <c r="H182" i="3"/>
  <c r="P182" i="3"/>
  <c r="S182" i="3"/>
  <c r="U182" i="3"/>
  <c r="W182" i="3"/>
  <c r="Z182" i="3"/>
  <c r="AC182" i="3"/>
  <c r="A183" i="3"/>
  <c r="B183" i="3"/>
  <c r="C183" i="3"/>
  <c r="D183" i="3"/>
  <c r="F183" i="3"/>
  <c r="G183" i="3"/>
  <c r="H183" i="3"/>
  <c r="P183" i="3"/>
  <c r="S183" i="3"/>
  <c r="Q183" i="3" s="1"/>
  <c r="U183" i="3"/>
  <c r="W183" i="3"/>
  <c r="Z183" i="3"/>
  <c r="AC183" i="3"/>
  <c r="A184" i="3"/>
  <c r="B184" i="3"/>
  <c r="C184" i="3"/>
  <c r="D184" i="3"/>
  <c r="F184" i="3"/>
  <c r="G184" i="3"/>
  <c r="H184" i="3"/>
  <c r="P184" i="3"/>
  <c r="S184" i="3"/>
  <c r="Q184" i="3" s="1"/>
  <c r="U184" i="3"/>
  <c r="W184" i="3"/>
  <c r="Z184" i="3"/>
  <c r="AC184" i="3"/>
  <c r="A185" i="3"/>
  <c r="B185" i="3"/>
  <c r="C185" i="3"/>
  <c r="D185" i="3"/>
  <c r="F185" i="3"/>
  <c r="G185" i="3"/>
  <c r="H185" i="3"/>
  <c r="P185" i="3"/>
  <c r="S185" i="3"/>
  <c r="Q185" i="3" s="1"/>
  <c r="U185" i="3"/>
  <c r="W185" i="3"/>
  <c r="Z185" i="3"/>
  <c r="AC185" i="3"/>
  <c r="A186" i="3"/>
  <c r="B186" i="3"/>
  <c r="C186" i="3"/>
  <c r="D186" i="3"/>
  <c r="F186" i="3"/>
  <c r="G186" i="3"/>
  <c r="H186" i="3"/>
  <c r="P186" i="3"/>
  <c r="S186" i="3"/>
  <c r="Q186" i="3" s="1"/>
  <c r="U186" i="3"/>
  <c r="W186" i="3"/>
  <c r="Z186" i="3"/>
  <c r="AC186" i="3"/>
  <c r="A200" i="3"/>
  <c r="B200" i="3"/>
  <c r="C200" i="3"/>
  <c r="D200" i="3"/>
  <c r="F200" i="3"/>
  <c r="G200" i="3"/>
  <c r="H200" i="3"/>
  <c r="P200" i="3"/>
  <c r="S200" i="3"/>
  <c r="U200" i="3"/>
  <c r="W200" i="3"/>
  <c r="Z200" i="3"/>
  <c r="AC200" i="3"/>
  <c r="A140" i="3"/>
  <c r="B140" i="3"/>
  <c r="C140" i="3"/>
  <c r="D140" i="3"/>
  <c r="F140" i="3"/>
  <c r="G140" i="3"/>
  <c r="H140" i="3"/>
  <c r="P140" i="3"/>
  <c r="S140" i="3"/>
  <c r="U140" i="3"/>
  <c r="W140" i="3"/>
  <c r="Z140" i="3"/>
  <c r="AC140" i="3"/>
  <c r="A141" i="3"/>
  <c r="B141" i="3"/>
  <c r="C141" i="3"/>
  <c r="D141" i="3"/>
  <c r="F141" i="3"/>
  <c r="G141" i="3"/>
  <c r="H141" i="3"/>
  <c r="P141" i="3"/>
  <c r="S141" i="3"/>
  <c r="Q141" i="3" s="1"/>
  <c r="U141" i="3"/>
  <c r="W141" i="3"/>
  <c r="Z141" i="3"/>
  <c r="AC141" i="3"/>
  <c r="A142" i="3"/>
  <c r="B142" i="3"/>
  <c r="C142" i="3"/>
  <c r="D142" i="3"/>
  <c r="F142" i="3"/>
  <c r="G142" i="3"/>
  <c r="H142" i="3"/>
  <c r="P142" i="3"/>
  <c r="S142" i="3"/>
  <c r="U142" i="3"/>
  <c r="W142" i="3"/>
  <c r="Z142" i="3"/>
  <c r="AC142" i="3"/>
  <c r="A143" i="3"/>
  <c r="B143" i="3"/>
  <c r="C143" i="3"/>
  <c r="D143" i="3"/>
  <c r="F143" i="3"/>
  <c r="G143" i="3"/>
  <c r="H143" i="3"/>
  <c r="P143" i="3"/>
  <c r="S143" i="3"/>
  <c r="Q143" i="3" s="1"/>
  <c r="U143" i="3"/>
  <c r="W143" i="3"/>
  <c r="Z143" i="3"/>
  <c r="AC143" i="3"/>
  <c r="A144" i="3"/>
  <c r="B144" i="3"/>
  <c r="C144" i="3"/>
  <c r="D144" i="3"/>
  <c r="F144" i="3"/>
  <c r="G144" i="3"/>
  <c r="H144" i="3"/>
  <c r="P144" i="3"/>
  <c r="S144" i="3"/>
  <c r="Q144" i="3" s="1"/>
  <c r="U144" i="3"/>
  <c r="W144" i="3"/>
  <c r="Z144" i="3"/>
  <c r="AC144" i="3"/>
  <c r="A145" i="3"/>
  <c r="B145" i="3"/>
  <c r="C145" i="3"/>
  <c r="D145" i="3"/>
  <c r="F145" i="3"/>
  <c r="G145" i="3"/>
  <c r="H145" i="3"/>
  <c r="P145" i="3"/>
  <c r="S145" i="3"/>
  <c r="Q145" i="3" s="1"/>
  <c r="U145" i="3"/>
  <c r="W145" i="3"/>
  <c r="Z145" i="3"/>
  <c r="AC145" i="3"/>
  <c r="A139" i="3"/>
  <c r="B139" i="3"/>
  <c r="C139" i="3"/>
  <c r="D139" i="3"/>
  <c r="F139" i="3"/>
  <c r="G139" i="3"/>
  <c r="H139" i="3"/>
  <c r="P139" i="3"/>
  <c r="S139" i="3"/>
  <c r="Q139" i="3" s="1"/>
  <c r="U139" i="3"/>
  <c r="W139" i="3"/>
  <c r="Z139" i="3"/>
  <c r="AC139" i="3"/>
  <c r="A148" i="3"/>
  <c r="B148" i="3"/>
  <c r="C148" i="3"/>
  <c r="D148" i="3"/>
  <c r="F148" i="3"/>
  <c r="G148" i="3"/>
  <c r="H148" i="3"/>
  <c r="P148" i="3"/>
  <c r="S148" i="3"/>
  <c r="U148" i="3"/>
  <c r="W148" i="3"/>
  <c r="Z148" i="3"/>
  <c r="AC148" i="3"/>
  <c r="A149" i="3"/>
  <c r="B149" i="3"/>
  <c r="C149" i="3"/>
  <c r="D149" i="3"/>
  <c r="F149" i="3"/>
  <c r="G149" i="3"/>
  <c r="H149" i="3"/>
  <c r="P149" i="3"/>
  <c r="S149" i="3"/>
  <c r="Q149" i="3" s="1"/>
  <c r="U149" i="3"/>
  <c r="W149" i="3"/>
  <c r="Z149" i="3"/>
  <c r="AC149" i="3"/>
  <c r="A150" i="3"/>
  <c r="B150" i="3"/>
  <c r="C150" i="3"/>
  <c r="D150" i="3"/>
  <c r="F150" i="3"/>
  <c r="G150" i="3"/>
  <c r="H150" i="3"/>
  <c r="P150" i="3"/>
  <c r="S150" i="3"/>
  <c r="U150" i="3"/>
  <c r="W150" i="3"/>
  <c r="Z150" i="3"/>
  <c r="AC150" i="3"/>
  <c r="A151" i="3"/>
  <c r="B151" i="3"/>
  <c r="C151" i="3"/>
  <c r="D151" i="3"/>
  <c r="F151" i="3"/>
  <c r="G151" i="3"/>
  <c r="H151" i="3"/>
  <c r="P151" i="3"/>
  <c r="S151" i="3"/>
  <c r="Q151" i="3" s="1"/>
  <c r="U151" i="3"/>
  <c r="W151" i="3"/>
  <c r="Z151" i="3"/>
  <c r="AC151" i="3"/>
  <c r="A152" i="3"/>
  <c r="B152" i="3"/>
  <c r="C152" i="3"/>
  <c r="D152" i="3"/>
  <c r="F152" i="3"/>
  <c r="G152" i="3"/>
  <c r="H152" i="3"/>
  <c r="P152" i="3"/>
  <c r="S152" i="3"/>
  <c r="Q152" i="3" s="1"/>
  <c r="U152" i="3"/>
  <c r="W152" i="3"/>
  <c r="Z152" i="3"/>
  <c r="AC152" i="3"/>
  <c r="A153" i="3"/>
  <c r="B153" i="3"/>
  <c r="C153" i="3"/>
  <c r="D153" i="3"/>
  <c r="F153" i="3"/>
  <c r="G153" i="3"/>
  <c r="H153" i="3"/>
  <c r="P153" i="3"/>
  <c r="S153" i="3"/>
  <c r="U153" i="3"/>
  <c r="W153" i="3"/>
  <c r="Z153" i="3"/>
  <c r="AC153" i="3"/>
  <c r="A154" i="3"/>
  <c r="B154" i="3"/>
  <c r="C154" i="3"/>
  <c r="D154" i="3"/>
  <c r="F154" i="3"/>
  <c r="G154" i="3"/>
  <c r="H154" i="3"/>
  <c r="P154" i="3"/>
  <c r="S154" i="3"/>
  <c r="Q154" i="3" s="1"/>
  <c r="U154" i="3"/>
  <c r="W154" i="3"/>
  <c r="Z154" i="3"/>
  <c r="AC154" i="3"/>
  <c r="A155" i="3"/>
  <c r="B155" i="3"/>
  <c r="C155" i="3"/>
  <c r="D155" i="3"/>
  <c r="F155" i="3"/>
  <c r="G155" i="3"/>
  <c r="H155" i="3"/>
  <c r="P155" i="3"/>
  <c r="S155" i="3"/>
  <c r="Q155" i="3" s="1"/>
  <c r="U155" i="3"/>
  <c r="W155" i="3"/>
  <c r="Z155" i="3"/>
  <c r="AC155" i="3"/>
  <c r="A156" i="3"/>
  <c r="B156" i="3"/>
  <c r="C156" i="3"/>
  <c r="D156" i="3"/>
  <c r="F156" i="3"/>
  <c r="G156" i="3"/>
  <c r="H156" i="3"/>
  <c r="P156" i="3"/>
  <c r="S156" i="3"/>
  <c r="Q156" i="3" s="1"/>
  <c r="U156" i="3"/>
  <c r="W156" i="3"/>
  <c r="Z156" i="3"/>
  <c r="AC156" i="3"/>
  <c r="A157" i="3"/>
  <c r="B157" i="3"/>
  <c r="C157" i="3"/>
  <c r="D157" i="3"/>
  <c r="F157" i="3"/>
  <c r="G157" i="3"/>
  <c r="H157" i="3"/>
  <c r="P157" i="3"/>
  <c r="S157" i="3"/>
  <c r="U157" i="3"/>
  <c r="W157" i="3"/>
  <c r="Z157" i="3"/>
  <c r="AC157" i="3"/>
  <c r="A158" i="3"/>
  <c r="B158" i="3"/>
  <c r="C158" i="3"/>
  <c r="D158" i="3"/>
  <c r="F158" i="3"/>
  <c r="G158" i="3"/>
  <c r="H158" i="3"/>
  <c r="P158" i="3"/>
  <c r="S158" i="3"/>
  <c r="Q158" i="3" s="1"/>
  <c r="U158" i="3"/>
  <c r="W158" i="3"/>
  <c r="Z158" i="3"/>
  <c r="AC158" i="3"/>
  <c r="A159" i="3"/>
  <c r="B159" i="3"/>
  <c r="C159" i="3"/>
  <c r="D159" i="3"/>
  <c r="F159" i="3"/>
  <c r="G159" i="3"/>
  <c r="H159" i="3"/>
  <c r="P159" i="3"/>
  <c r="S159" i="3"/>
  <c r="Q159" i="3" s="1"/>
  <c r="U159" i="3"/>
  <c r="W159" i="3"/>
  <c r="Z159" i="3"/>
  <c r="AC159" i="3"/>
  <c r="A160" i="3"/>
  <c r="B160" i="3"/>
  <c r="C160" i="3"/>
  <c r="D160" i="3"/>
  <c r="F160" i="3"/>
  <c r="G160" i="3"/>
  <c r="H160" i="3"/>
  <c r="P160" i="3"/>
  <c r="S160" i="3"/>
  <c r="U160" i="3"/>
  <c r="W160" i="3"/>
  <c r="Z160" i="3"/>
  <c r="AC160" i="3"/>
  <c r="A161" i="3"/>
  <c r="B161" i="3"/>
  <c r="C161" i="3"/>
  <c r="D161" i="3"/>
  <c r="F161" i="3"/>
  <c r="G161" i="3"/>
  <c r="H161" i="3"/>
  <c r="P161" i="3"/>
  <c r="S161" i="3"/>
  <c r="U161" i="3"/>
  <c r="W161" i="3"/>
  <c r="Z161" i="3"/>
  <c r="AC161" i="3"/>
  <c r="A162" i="3"/>
  <c r="B162" i="3"/>
  <c r="C162" i="3"/>
  <c r="D162" i="3"/>
  <c r="F162" i="3"/>
  <c r="G162" i="3"/>
  <c r="H162" i="3"/>
  <c r="P162" i="3"/>
  <c r="S162" i="3"/>
  <c r="U162" i="3"/>
  <c r="W162" i="3"/>
  <c r="Z162" i="3"/>
  <c r="AC162" i="3"/>
  <c r="A163" i="3"/>
  <c r="B163" i="3"/>
  <c r="C163" i="3"/>
  <c r="D163" i="3"/>
  <c r="F163" i="3"/>
  <c r="G163" i="3"/>
  <c r="H163" i="3"/>
  <c r="P163" i="3"/>
  <c r="S163" i="3"/>
  <c r="W163" i="3"/>
  <c r="Z163" i="3"/>
  <c r="AC163" i="3"/>
  <c r="O201" i="3"/>
  <c r="A123" i="3"/>
  <c r="B123" i="3"/>
  <c r="C123" i="3"/>
  <c r="D123" i="3"/>
  <c r="F123" i="3"/>
  <c r="G123" i="3"/>
  <c r="H123" i="3"/>
  <c r="P123" i="3"/>
  <c r="S123" i="3"/>
  <c r="U123" i="3"/>
  <c r="W123" i="3"/>
  <c r="Z123" i="3"/>
  <c r="AC123" i="3"/>
  <c r="A124" i="3"/>
  <c r="B124" i="3"/>
  <c r="C124" i="3"/>
  <c r="D124" i="3"/>
  <c r="F124" i="3"/>
  <c r="G124" i="3"/>
  <c r="H124" i="3"/>
  <c r="P124" i="3"/>
  <c r="S124" i="3"/>
  <c r="Q124" i="3" s="1"/>
  <c r="U124" i="3"/>
  <c r="W124" i="3"/>
  <c r="Z124" i="3"/>
  <c r="AC124" i="3"/>
  <c r="A125" i="3"/>
  <c r="B125" i="3"/>
  <c r="C125" i="3"/>
  <c r="D125" i="3"/>
  <c r="F125" i="3"/>
  <c r="G125" i="3"/>
  <c r="H125" i="3"/>
  <c r="P125" i="3"/>
  <c r="S125" i="3"/>
  <c r="U125" i="3"/>
  <c r="W125" i="3"/>
  <c r="Z125" i="3"/>
  <c r="AC125" i="3"/>
  <c r="A126" i="3"/>
  <c r="B126" i="3"/>
  <c r="C126" i="3"/>
  <c r="D126" i="3"/>
  <c r="F126" i="3"/>
  <c r="G126" i="3"/>
  <c r="H126" i="3"/>
  <c r="P126" i="3"/>
  <c r="S126" i="3"/>
  <c r="U126" i="3"/>
  <c r="W126" i="3"/>
  <c r="Z126" i="3"/>
  <c r="AC126" i="3"/>
  <c r="A127" i="3"/>
  <c r="B127" i="3"/>
  <c r="C127" i="3"/>
  <c r="D127" i="3"/>
  <c r="F127" i="3"/>
  <c r="G127" i="3"/>
  <c r="H127" i="3"/>
  <c r="P127" i="3"/>
  <c r="S127" i="3"/>
  <c r="Q127" i="3" s="1"/>
  <c r="U127" i="3"/>
  <c r="W127" i="3"/>
  <c r="Z127" i="3"/>
  <c r="AC127" i="3"/>
  <c r="A128" i="3"/>
  <c r="B128" i="3"/>
  <c r="C128" i="3"/>
  <c r="D128" i="3"/>
  <c r="F128" i="3"/>
  <c r="G128" i="3"/>
  <c r="H128" i="3"/>
  <c r="P128" i="3"/>
  <c r="S128" i="3"/>
  <c r="U128" i="3"/>
  <c r="W128" i="3"/>
  <c r="Z128" i="3"/>
  <c r="AC128" i="3"/>
  <c r="A129" i="3"/>
  <c r="B129" i="3"/>
  <c r="C129" i="3"/>
  <c r="D129" i="3"/>
  <c r="F129" i="3"/>
  <c r="G129" i="3"/>
  <c r="H129" i="3"/>
  <c r="P129" i="3"/>
  <c r="S129" i="3"/>
  <c r="U129" i="3"/>
  <c r="W129" i="3"/>
  <c r="Z129" i="3"/>
  <c r="AC129" i="3"/>
  <c r="A130" i="3"/>
  <c r="B130" i="3"/>
  <c r="C130" i="3"/>
  <c r="D130" i="3"/>
  <c r="F130" i="3"/>
  <c r="G130" i="3"/>
  <c r="H130" i="3"/>
  <c r="P130" i="3"/>
  <c r="S130" i="3"/>
  <c r="U130" i="3"/>
  <c r="W130" i="3"/>
  <c r="Z130" i="3"/>
  <c r="AC130" i="3"/>
  <c r="A131" i="3"/>
  <c r="B131" i="3"/>
  <c r="C131" i="3"/>
  <c r="D131" i="3"/>
  <c r="F131" i="3"/>
  <c r="G131" i="3"/>
  <c r="H131" i="3"/>
  <c r="P131" i="3"/>
  <c r="S131" i="3"/>
  <c r="Q131" i="3" s="1"/>
  <c r="U131" i="3"/>
  <c r="W131" i="3"/>
  <c r="Z131" i="3"/>
  <c r="AC131" i="3"/>
  <c r="A132" i="3"/>
  <c r="B132" i="3"/>
  <c r="C132" i="3"/>
  <c r="D132" i="3"/>
  <c r="F132" i="3"/>
  <c r="G132" i="3"/>
  <c r="H132" i="3"/>
  <c r="P132" i="3"/>
  <c r="S132" i="3"/>
  <c r="Q132" i="3" s="1"/>
  <c r="U132" i="3"/>
  <c r="W132" i="3"/>
  <c r="Z132" i="3"/>
  <c r="AC132" i="3"/>
  <c r="A133" i="3"/>
  <c r="B133" i="3"/>
  <c r="C133" i="3"/>
  <c r="D133" i="3"/>
  <c r="F133" i="3"/>
  <c r="G133" i="3"/>
  <c r="H133" i="3"/>
  <c r="P133" i="3"/>
  <c r="S133" i="3"/>
  <c r="U133" i="3"/>
  <c r="W133" i="3"/>
  <c r="Z133" i="3"/>
  <c r="AC133" i="3"/>
  <c r="A134" i="3"/>
  <c r="B134" i="3"/>
  <c r="C134" i="3"/>
  <c r="D134" i="3"/>
  <c r="F134" i="3"/>
  <c r="G134" i="3"/>
  <c r="H134" i="3"/>
  <c r="P134" i="3"/>
  <c r="S134" i="3"/>
  <c r="Q134" i="3" s="1"/>
  <c r="U134" i="3"/>
  <c r="W134" i="3"/>
  <c r="Z134" i="3"/>
  <c r="AC134" i="3"/>
  <c r="A135" i="3"/>
  <c r="B135" i="3"/>
  <c r="C135" i="3"/>
  <c r="D135" i="3"/>
  <c r="F135" i="3"/>
  <c r="G135" i="3"/>
  <c r="H135" i="3"/>
  <c r="P135" i="3"/>
  <c r="S135" i="3"/>
  <c r="Q135" i="3" s="1"/>
  <c r="U135" i="3"/>
  <c r="W135" i="3"/>
  <c r="Z135" i="3"/>
  <c r="AC135" i="3"/>
  <c r="A136" i="3"/>
  <c r="B136" i="3"/>
  <c r="C136" i="3"/>
  <c r="D136" i="3"/>
  <c r="F136" i="3"/>
  <c r="G136" i="3"/>
  <c r="H136" i="3"/>
  <c r="P136" i="3"/>
  <c r="S136" i="3"/>
  <c r="Q136" i="3" s="1"/>
  <c r="U136" i="3"/>
  <c r="W136" i="3"/>
  <c r="Z136" i="3"/>
  <c r="AC136" i="3"/>
  <c r="A137" i="3"/>
  <c r="B137" i="3"/>
  <c r="C137" i="3"/>
  <c r="D137" i="3"/>
  <c r="F137" i="3"/>
  <c r="G137" i="3"/>
  <c r="H137" i="3"/>
  <c r="P137" i="3"/>
  <c r="S137" i="3"/>
  <c r="Q137" i="3" s="1"/>
  <c r="U137" i="3"/>
  <c r="W137" i="3"/>
  <c r="Z137" i="3"/>
  <c r="AC137" i="3"/>
  <c r="A120" i="3"/>
  <c r="B120" i="3"/>
  <c r="C120" i="3"/>
  <c r="D120" i="3"/>
  <c r="F120" i="3"/>
  <c r="G120" i="3"/>
  <c r="H120" i="3"/>
  <c r="P120" i="3"/>
  <c r="S120" i="3"/>
  <c r="Q120" i="3" s="1"/>
  <c r="U120" i="3"/>
  <c r="W120" i="3"/>
  <c r="Z120" i="3"/>
  <c r="AC120" i="3"/>
  <c r="A121" i="3"/>
  <c r="B121" i="3"/>
  <c r="C121" i="3"/>
  <c r="D121" i="3"/>
  <c r="F121" i="3"/>
  <c r="G121" i="3"/>
  <c r="H121" i="3"/>
  <c r="P121" i="3"/>
  <c r="S121" i="3"/>
  <c r="Q121" i="3" s="1"/>
  <c r="U121" i="3"/>
  <c r="W121" i="3"/>
  <c r="Z121" i="3"/>
  <c r="AC121" i="3"/>
  <c r="A122" i="3"/>
  <c r="B122" i="3"/>
  <c r="C122" i="3"/>
  <c r="D122" i="3"/>
  <c r="F122" i="3"/>
  <c r="G122" i="3"/>
  <c r="H122" i="3"/>
  <c r="P122" i="3"/>
  <c r="S122" i="3"/>
  <c r="Q122" i="3" s="1"/>
  <c r="U122" i="3"/>
  <c r="W122" i="3"/>
  <c r="Z122" i="3"/>
  <c r="AC122" i="3"/>
  <c r="A138" i="3"/>
  <c r="B138" i="3"/>
  <c r="C138" i="3"/>
  <c r="D138" i="3"/>
  <c r="F138" i="3"/>
  <c r="G138" i="3"/>
  <c r="H138" i="3"/>
  <c r="P138" i="3"/>
  <c r="S138" i="3"/>
  <c r="Q138" i="3" s="1"/>
  <c r="U138" i="3"/>
  <c r="W138" i="3"/>
  <c r="Z138" i="3"/>
  <c r="AC138" i="3"/>
  <c r="A146" i="3"/>
  <c r="B146" i="3"/>
  <c r="C146" i="3"/>
  <c r="D146" i="3"/>
  <c r="F146" i="3"/>
  <c r="G146" i="3"/>
  <c r="H146" i="3"/>
  <c r="P146" i="3"/>
  <c r="S146" i="3"/>
  <c r="Q146" i="3" s="1"/>
  <c r="U146" i="3"/>
  <c r="W146" i="3"/>
  <c r="Z146" i="3"/>
  <c r="AC146" i="3"/>
  <c r="A111" i="3"/>
  <c r="B111" i="3"/>
  <c r="C111" i="3"/>
  <c r="D111" i="3"/>
  <c r="F111" i="3"/>
  <c r="G111" i="3"/>
  <c r="H111" i="3"/>
  <c r="P111" i="3"/>
  <c r="S111" i="3"/>
  <c r="Q111" i="3" s="1"/>
  <c r="U111" i="3"/>
  <c r="W111" i="3"/>
  <c r="Z111" i="3"/>
  <c r="AC111" i="3"/>
  <c r="A112" i="3"/>
  <c r="B112" i="3"/>
  <c r="C112" i="3"/>
  <c r="D112" i="3"/>
  <c r="F112" i="3"/>
  <c r="G112" i="3"/>
  <c r="H112" i="3"/>
  <c r="P112" i="3"/>
  <c r="S112" i="3"/>
  <c r="Q112" i="3" s="1"/>
  <c r="U112" i="3"/>
  <c r="W112" i="3"/>
  <c r="Z112" i="3"/>
  <c r="AC112" i="3"/>
  <c r="A109" i="3"/>
  <c r="B109" i="3"/>
  <c r="C109" i="3"/>
  <c r="D109" i="3"/>
  <c r="F109" i="3"/>
  <c r="G109" i="3"/>
  <c r="H109" i="3"/>
  <c r="P109" i="3"/>
  <c r="S109" i="3"/>
  <c r="Q109" i="3" s="1"/>
  <c r="U109" i="3"/>
  <c r="W109" i="3"/>
  <c r="Z109" i="3"/>
  <c r="AC109" i="3"/>
  <c r="A110" i="3"/>
  <c r="B110" i="3"/>
  <c r="C110" i="3"/>
  <c r="D110" i="3"/>
  <c r="F110" i="3"/>
  <c r="G110" i="3"/>
  <c r="H110" i="3"/>
  <c r="P110" i="3"/>
  <c r="S110" i="3"/>
  <c r="Q110" i="3" s="1"/>
  <c r="U110" i="3"/>
  <c r="W110" i="3"/>
  <c r="Z110" i="3"/>
  <c r="AC110" i="3"/>
  <c r="A113" i="3"/>
  <c r="B113" i="3"/>
  <c r="C113" i="3"/>
  <c r="D113" i="3"/>
  <c r="F113" i="3"/>
  <c r="G113" i="3"/>
  <c r="H113" i="3"/>
  <c r="P113" i="3"/>
  <c r="S113" i="3"/>
  <c r="Q113" i="3" s="1"/>
  <c r="U113" i="3"/>
  <c r="W113" i="3"/>
  <c r="Z113" i="3"/>
  <c r="AC113" i="3"/>
  <c r="A114" i="3"/>
  <c r="B114" i="3"/>
  <c r="C114" i="3"/>
  <c r="D114" i="3"/>
  <c r="F114" i="3"/>
  <c r="G114" i="3"/>
  <c r="H114" i="3"/>
  <c r="P114" i="3"/>
  <c r="S114" i="3"/>
  <c r="Q114" i="3" s="1"/>
  <c r="U114" i="3"/>
  <c r="W114" i="3"/>
  <c r="Z114" i="3"/>
  <c r="AC114" i="3"/>
  <c r="A115" i="3"/>
  <c r="B115" i="3"/>
  <c r="C115" i="3"/>
  <c r="D115" i="3"/>
  <c r="F115" i="3"/>
  <c r="G115" i="3"/>
  <c r="H115" i="3"/>
  <c r="P115" i="3"/>
  <c r="S115" i="3"/>
  <c r="Q115" i="3" s="1"/>
  <c r="U115" i="3"/>
  <c r="W115" i="3"/>
  <c r="Z115" i="3"/>
  <c r="AC115" i="3"/>
  <c r="A116" i="3"/>
  <c r="B116" i="3"/>
  <c r="C116" i="3"/>
  <c r="D116" i="3"/>
  <c r="F116" i="3"/>
  <c r="G116" i="3"/>
  <c r="H116" i="3"/>
  <c r="P116" i="3"/>
  <c r="S116" i="3"/>
  <c r="U116" i="3"/>
  <c r="W116" i="3"/>
  <c r="Z116" i="3"/>
  <c r="AC116" i="3"/>
  <c r="A117" i="3"/>
  <c r="B117" i="3"/>
  <c r="C117" i="3"/>
  <c r="D117" i="3"/>
  <c r="F117" i="3"/>
  <c r="G117" i="3"/>
  <c r="H117" i="3"/>
  <c r="P117" i="3"/>
  <c r="S117" i="3"/>
  <c r="Q117" i="3" s="1"/>
  <c r="U117" i="3"/>
  <c r="W117" i="3"/>
  <c r="Z117" i="3"/>
  <c r="AC117" i="3"/>
  <c r="A118" i="3"/>
  <c r="B118" i="3"/>
  <c r="C118" i="3"/>
  <c r="D118" i="3"/>
  <c r="F118" i="3"/>
  <c r="G118" i="3"/>
  <c r="H118" i="3"/>
  <c r="P118" i="3"/>
  <c r="S118" i="3"/>
  <c r="Q118" i="3" s="1"/>
  <c r="U118" i="3"/>
  <c r="W118" i="3"/>
  <c r="Z118" i="3"/>
  <c r="AC118" i="3"/>
  <c r="A119" i="3"/>
  <c r="B119" i="3"/>
  <c r="C119" i="3"/>
  <c r="D119" i="3"/>
  <c r="F119" i="3"/>
  <c r="G119" i="3"/>
  <c r="H119" i="3"/>
  <c r="P119" i="3"/>
  <c r="S119" i="3"/>
  <c r="Q119" i="3" s="1"/>
  <c r="U119" i="3"/>
  <c r="W119" i="3"/>
  <c r="Z119" i="3"/>
  <c r="AC119" i="3"/>
  <c r="A100" i="3"/>
  <c r="B100" i="3"/>
  <c r="C100" i="3"/>
  <c r="D100" i="3"/>
  <c r="F100" i="3"/>
  <c r="G100" i="3"/>
  <c r="H100" i="3"/>
  <c r="P100" i="3"/>
  <c r="S100" i="3"/>
  <c r="U100" i="3"/>
  <c r="W100" i="3"/>
  <c r="Z100" i="3"/>
  <c r="AC100" i="3"/>
  <c r="A101" i="3"/>
  <c r="B101" i="3"/>
  <c r="C101" i="3"/>
  <c r="D101" i="3"/>
  <c r="F101" i="3"/>
  <c r="G101" i="3"/>
  <c r="H101" i="3"/>
  <c r="P101" i="3"/>
  <c r="S101" i="3"/>
  <c r="Q101" i="3" s="1"/>
  <c r="U101" i="3"/>
  <c r="W101" i="3"/>
  <c r="Z101" i="3"/>
  <c r="AC101" i="3"/>
  <c r="A102" i="3"/>
  <c r="B102" i="3"/>
  <c r="C102" i="3"/>
  <c r="D102" i="3"/>
  <c r="F102" i="3"/>
  <c r="G102" i="3"/>
  <c r="H102" i="3"/>
  <c r="P102" i="3"/>
  <c r="S102" i="3"/>
  <c r="Q102" i="3" s="1"/>
  <c r="U102" i="3"/>
  <c r="W102" i="3"/>
  <c r="Z102" i="3"/>
  <c r="AC102" i="3"/>
  <c r="A103" i="3"/>
  <c r="B103" i="3"/>
  <c r="C103" i="3"/>
  <c r="D103" i="3"/>
  <c r="F103" i="3"/>
  <c r="G103" i="3"/>
  <c r="H103" i="3"/>
  <c r="P103" i="3"/>
  <c r="S103" i="3"/>
  <c r="Q103" i="3" s="1"/>
  <c r="U103" i="3"/>
  <c r="W103" i="3"/>
  <c r="Z103" i="3"/>
  <c r="AC103" i="3"/>
  <c r="A104" i="3"/>
  <c r="B104" i="3"/>
  <c r="C104" i="3"/>
  <c r="D104" i="3"/>
  <c r="F104" i="3"/>
  <c r="G104" i="3"/>
  <c r="H104" i="3"/>
  <c r="P104" i="3"/>
  <c r="S104" i="3"/>
  <c r="Q104" i="3" s="1"/>
  <c r="U104" i="3"/>
  <c r="W104" i="3"/>
  <c r="Z104" i="3"/>
  <c r="AC104" i="3"/>
  <c r="A105" i="3"/>
  <c r="B105" i="3"/>
  <c r="C105" i="3"/>
  <c r="D105" i="3"/>
  <c r="F105" i="3"/>
  <c r="G105" i="3"/>
  <c r="H105" i="3"/>
  <c r="P105" i="3"/>
  <c r="S105" i="3"/>
  <c r="U105" i="3"/>
  <c r="W105" i="3"/>
  <c r="Z105" i="3"/>
  <c r="AC105" i="3"/>
  <c r="A106" i="3"/>
  <c r="B106" i="3"/>
  <c r="C106" i="3"/>
  <c r="D106" i="3"/>
  <c r="F106" i="3"/>
  <c r="G106" i="3"/>
  <c r="H106" i="3"/>
  <c r="P106" i="3"/>
  <c r="S106" i="3"/>
  <c r="Q106" i="3" s="1"/>
  <c r="U106" i="3"/>
  <c r="W106" i="3"/>
  <c r="Z106" i="3"/>
  <c r="AC106" i="3"/>
  <c r="A107" i="3"/>
  <c r="B107" i="3"/>
  <c r="C107" i="3"/>
  <c r="D107" i="3"/>
  <c r="F107" i="3"/>
  <c r="G107" i="3"/>
  <c r="H107" i="3"/>
  <c r="P107" i="3"/>
  <c r="S107" i="3"/>
  <c r="Q107" i="3" s="1"/>
  <c r="U107" i="3"/>
  <c r="W107" i="3"/>
  <c r="Z107" i="3"/>
  <c r="AC107" i="3"/>
  <c r="A82" i="3"/>
  <c r="B82" i="3"/>
  <c r="C82" i="3"/>
  <c r="D82" i="3"/>
  <c r="F82" i="3"/>
  <c r="G82" i="3"/>
  <c r="H82" i="3"/>
  <c r="P82" i="3"/>
  <c r="S82" i="3"/>
  <c r="U82" i="3"/>
  <c r="W82" i="3"/>
  <c r="Z82" i="3"/>
  <c r="AC82" i="3"/>
  <c r="A83" i="3"/>
  <c r="B83" i="3"/>
  <c r="C83" i="3"/>
  <c r="D83" i="3"/>
  <c r="F83" i="3"/>
  <c r="G83" i="3"/>
  <c r="H83" i="3"/>
  <c r="P83" i="3"/>
  <c r="S83" i="3"/>
  <c r="Q83" i="3" s="1"/>
  <c r="U83" i="3"/>
  <c r="W83" i="3"/>
  <c r="Z83" i="3"/>
  <c r="AC83" i="3"/>
  <c r="A84" i="3"/>
  <c r="B84" i="3"/>
  <c r="C84" i="3"/>
  <c r="D84" i="3"/>
  <c r="F84" i="3"/>
  <c r="G84" i="3"/>
  <c r="H84" i="3"/>
  <c r="P84" i="3"/>
  <c r="S84" i="3"/>
  <c r="Q84" i="3" s="1"/>
  <c r="U84" i="3"/>
  <c r="W84" i="3"/>
  <c r="Z84" i="3"/>
  <c r="AC84" i="3"/>
  <c r="A85" i="3"/>
  <c r="B85" i="3"/>
  <c r="C85" i="3"/>
  <c r="D85" i="3"/>
  <c r="F85" i="3"/>
  <c r="G85" i="3"/>
  <c r="H85" i="3"/>
  <c r="P85" i="3"/>
  <c r="S85" i="3"/>
  <c r="Q85" i="3" s="1"/>
  <c r="U85" i="3"/>
  <c r="W85" i="3"/>
  <c r="Z85" i="3"/>
  <c r="AC85" i="3"/>
  <c r="A86" i="3"/>
  <c r="B86" i="3"/>
  <c r="C86" i="3"/>
  <c r="D86" i="3"/>
  <c r="F86" i="3"/>
  <c r="G86" i="3"/>
  <c r="H86" i="3"/>
  <c r="P86" i="3"/>
  <c r="S86" i="3"/>
  <c r="Q86" i="3" s="1"/>
  <c r="U86" i="3"/>
  <c r="W86" i="3"/>
  <c r="Z86" i="3"/>
  <c r="AC86" i="3"/>
  <c r="A87" i="3"/>
  <c r="B87" i="3"/>
  <c r="C87" i="3"/>
  <c r="D87" i="3"/>
  <c r="F87" i="3"/>
  <c r="G87" i="3"/>
  <c r="H87" i="3"/>
  <c r="P87" i="3"/>
  <c r="S87" i="3"/>
  <c r="U87" i="3"/>
  <c r="W87" i="3"/>
  <c r="Z87" i="3"/>
  <c r="AC87" i="3"/>
  <c r="A88" i="3"/>
  <c r="B88" i="3"/>
  <c r="C88" i="3"/>
  <c r="D88" i="3"/>
  <c r="F88" i="3"/>
  <c r="G88" i="3"/>
  <c r="H88" i="3"/>
  <c r="P88" i="3"/>
  <c r="S88" i="3"/>
  <c r="Q88" i="3" s="1"/>
  <c r="U88" i="3"/>
  <c r="W88" i="3"/>
  <c r="Z88" i="3"/>
  <c r="AC88" i="3"/>
  <c r="A89" i="3"/>
  <c r="B89" i="3"/>
  <c r="C89" i="3"/>
  <c r="D89" i="3"/>
  <c r="F89" i="3"/>
  <c r="G89" i="3"/>
  <c r="H89" i="3"/>
  <c r="P89" i="3"/>
  <c r="S89" i="3"/>
  <c r="Q89" i="3" s="1"/>
  <c r="U89" i="3"/>
  <c r="W89" i="3"/>
  <c r="Z89" i="3"/>
  <c r="AC89" i="3"/>
  <c r="A90" i="3"/>
  <c r="B90" i="3"/>
  <c r="C90" i="3"/>
  <c r="D90" i="3"/>
  <c r="F90" i="3"/>
  <c r="G90" i="3"/>
  <c r="H90" i="3"/>
  <c r="P90" i="3"/>
  <c r="S90" i="3"/>
  <c r="Q90" i="3" s="1"/>
  <c r="U90" i="3"/>
  <c r="W90" i="3"/>
  <c r="Z90" i="3"/>
  <c r="AC90" i="3"/>
  <c r="A91" i="3"/>
  <c r="B91" i="3"/>
  <c r="C91" i="3"/>
  <c r="D91" i="3"/>
  <c r="F91" i="3"/>
  <c r="G91" i="3"/>
  <c r="H91" i="3"/>
  <c r="P91" i="3"/>
  <c r="S91" i="3"/>
  <c r="U91" i="3"/>
  <c r="W91" i="3"/>
  <c r="Z91" i="3"/>
  <c r="AC91" i="3"/>
  <c r="A92" i="3"/>
  <c r="B92" i="3"/>
  <c r="C92" i="3"/>
  <c r="D92" i="3"/>
  <c r="F92" i="3"/>
  <c r="G92" i="3"/>
  <c r="H92" i="3"/>
  <c r="P92" i="3"/>
  <c r="S92" i="3"/>
  <c r="Q92" i="3" s="1"/>
  <c r="U92" i="3"/>
  <c r="W92" i="3"/>
  <c r="Z92" i="3"/>
  <c r="AC92" i="3"/>
  <c r="A93" i="3"/>
  <c r="B93" i="3"/>
  <c r="C93" i="3"/>
  <c r="D93" i="3"/>
  <c r="F93" i="3"/>
  <c r="G93" i="3"/>
  <c r="H93" i="3"/>
  <c r="P93" i="3"/>
  <c r="S93" i="3"/>
  <c r="Q93" i="3" s="1"/>
  <c r="U93" i="3"/>
  <c r="W93" i="3"/>
  <c r="Z93" i="3"/>
  <c r="AC93" i="3"/>
  <c r="A94" i="3"/>
  <c r="B94" i="3"/>
  <c r="C94" i="3"/>
  <c r="D94" i="3"/>
  <c r="F94" i="3"/>
  <c r="G94" i="3"/>
  <c r="H94" i="3"/>
  <c r="P94" i="3"/>
  <c r="S94" i="3"/>
  <c r="Q94" i="3" s="1"/>
  <c r="U94" i="3"/>
  <c r="W94" i="3"/>
  <c r="Z94" i="3"/>
  <c r="AC94" i="3"/>
  <c r="A95" i="3"/>
  <c r="B95" i="3"/>
  <c r="C95" i="3"/>
  <c r="D95" i="3"/>
  <c r="F95" i="3"/>
  <c r="G95" i="3"/>
  <c r="H95" i="3"/>
  <c r="P95" i="3"/>
  <c r="S95" i="3"/>
  <c r="Q95" i="3" s="1"/>
  <c r="U95" i="3"/>
  <c r="W95" i="3"/>
  <c r="Z95" i="3"/>
  <c r="AC95" i="3"/>
  <c r="A96" i="3"/>
  <c r="B96" i="3"/>
  <c r="C96" i="3"/>
  <c r="D96" i="3"/>
  <c r="F96" i="3"/>
  <c r="G96" i="3"/>
  <c r="H96" i="3"/>
  <c r="P96" i="3"/>
  <c r="S96" i="3"/>
  <c r="Q96" i="3" s="1"/>
  <c r="U96" i="3"/>
  <c r="W96" i="3"/>
  <c r="Z96" i="3"/>
  <c r="AC96" i="3"/>
  <c r="A97" i="3"/>
  <c r="B97" i="3"/>
  <c r="C97" i="3"/>
  <c r="D97" i="3"/>
  <c r="F97" i="3"/>
  <c r="G97" i="3"/>
  <c r="H97" i="3"/>
  <c r="P97" i="3"/>
  <c r="S97" i="3"/>
  <c r="U97" i="3"/>
  <c r="W97" i="3"/>
  <c r="Z97" i="3"/>
  <c r="AC97" i="3"/>
  <c r="A98" i="3"/>
  <c r="B98" i="3"/>
  <c r="C98" i="3"/>
  <c r="D98" i="3"/>
  <c r="F98" i="3"/>
  <c r="G98" i="3"/>
  <c r="H98" i="3"/>
  <c r="P98" i="3"/>
  <c r="S98" i="3"/>
  <c r="Q98" i="3" s="1"/>
  <c r="U98" i="3"/>
  <c r="W98" i="3"/>
  <c r="Z98" i="3"/>
  <c r="AC98" i="3"/>
  <c r="A99" i="3"/>
  <c r="B99" i="3"/>
  <c r="C99" i="3"/>
  <c r="D99" i="3"/>
  <c r="F99" i="3"/>
  <c r="G99" i="3"/>
  <c r="H99" i="3"/>
  <c r="P99" i="3"/>
  <c r="S99" i="3"/>
  <c r="Q99" i="3" s="1"/>
  <c r="U99" i="3"/>
  <c r="W99" i="3"/>
  <c r="Z99" i="3"/>
  <c r="AC99" i="3"/>
  <c r="A108" i="3"/>
  <c r="B108" i="3"/>
  <c r="C108" i="3"/>
  <c r="D108" i="3"/>
  <c r="F108" i="3"/>
  <c r="G108" i="3"/>
  <c r="H108" i="3"/>
  <c r="P108" i="3"/>
  <c r="S108" i="3"/>
  <c r="Q108" i="3" s="1"/>
  <c r="U108" i="3"/>
  <c r="W108" i="3"/>
  <c r="Z108" i="3"/>
  <c r="AC108" i="3"/>
  <c r="A147" i="3"/>
  <c r="B147" i="3"/>
  <c r="C147" i="3"/>
  <c r="D147" i="3"/>
  <c r="F147" i="3"/>
  <c r="G147" i="3"/>
  <c r="H147" i="3"/>
  <c r="P147" i="3"/>
  <c r="S147" i="3"/>
  <c r="Q147" i="3" s="1"/>
  <c r="U147" i="3"/>
  <c r="W147" i="3"/>
  <c r="Z147" i="3"/>
  <c r="AC147" i="3"/>
  <c r="A79" i="3"/>
  <c r="B79" i="3"/>
  <c r="C79" i="3"/>
  <c r="D79" i="3"/>
  <c r="F79" i="3"/>
  <c r="G79" i="3"/>
  <c r="H79" i="3"/>
  <c r="P79" i="3"/>
  <c r="S79" i="3"/>
  <c r="Q79" i="3" s="1"/>
  <c r="U79" i="3"/>
  <c r="W79" i="3"/>
  <c r="Z79" i="3"/>
  <c r="AC79" i="3"/>
  <c r="A69" i="3"/>
  <c r="B69" i="3"/>
  <c r="C69" i="3"/>
  <c r="D69" i="3"/>
  <c r="F69" i="3"/>
  <c r="G69" i="3"/>
  <c r="H69" i="3"/>
  <c r="P69" i="3"/>
  <c r="S69" i="3"/>
  <c r="Q69" i="3" s="1"/>
  <c r="U69" i="3"/>
  <c r="W69" i="3"/>
  <c r="Z69" i="3"/>
  <c r="AC69" i="3"/>
  <c r="A70" i="3"/>
  <c r="B70" i="3"/>
  <c r="C70" i="3"/>
  <c r="D70" i="3"/>
  <c r="F70" i="3"/>
  <c r="G70" i="3"/>
  <c r="H70" i="3"/>
  <c r="P70" i="3"/>
  <c r="S70" i="3"/>
  <c r="Q70" i="3" s="1"/>
  <c r="U70" i="3"/>
  <c r="W70" i="3"/>
  <c r="Z70" i="3"/>
  <c r="AC70" i="3"/>
  <c r="A71" i="3"/>
  <c r="B71" i="3"/>
  <c r="C71" i="3"/>
  <c r="D71" i="3"/>
  <c r="F71" i="3"/>
  <c r="G71" i="3"/>
  <c r="H71" i="3"/>
  <c r="P71" i="3"/>
  <c r="S71" i="3"/>
  <c r="U71" i="3"/>
  <c r="W71" i="3"/>
  <c r="Z71" i="3"/>
  <c r="AC71" i="3"/>
  <c r="A59" i="3"/>
  <c r="B59" i="3"/>
  <c r="C59" i="3"/>
  <c r="D59" i="3"/>
  <c r="F59" i="3"/>
  <c r="G59" i="3"/>
  <c r="H59" i="3"/>
  <c r="P59" i="3"/>
  <c r="S59" i="3"/>
  <c r="Q59" i="3" s="1"/>
  <c r="U59" i="3"/>
  <c r="W59" i="3"/>
  <c r="Z59" i="3"/>
  <c r="AC59" i="3"/>
  <c r="A60" i="3"/>
  <c r="B60" i="3"/>
  <c r="C60" i="3"/>
  <c r="D60" i="3"/>
  <c r="F60" i="3"/>
  <c r="G60" i="3"/>
  <c r="H60" i="3"/>
  <c r="P60" i="3"/>
  <c r="S60" i="3"/>
  <c r="Q60" i="3" s="1"/>
  <c r="U60" i="3"/>
  <c r="W60" i="3"/>
  <c r="Z60" i="3"/>
  <c r="AC60" i="3"/>
  <c r="A61" i="3"/>
  <c r="B61" i="3"/>
  <c r="C61" i="3"/>
  <c r="D61" i="3"/>
  <c r="F61" i="3"/>
  <c r="G61" i="3"/>
  <c r="H61" i="3"/>
  <c r="P61" i="3"/>
  <c r="S61" i="3"/>
  <c r="Q61" i="3" s="1"/>
  <c r="U61" i="3"/>
  <c r="W61" i="3"/>
  <c r="Z61" i="3"/>
  <c r="AC61" i="3"/>
  <c r="A52" i="3"/>
  <c r="B52" i="3"/>
  <c r="C52" i="3"/>
  <c r="D52" i="3"/>
  <c r="F52" i="3"/>
  <c r="G52" i="3"/>
  <c r="H52" i="3"/>
  <c r="P52" i="3"/>
  <c r="S52" i="3"/>
  <c r="U52" i="3"/>
  <c r="W52" i="3"/>
  <c r="Z52" i="3"/>
  <c r="AC52" i="3"/>
  <c r="A53" i="3"/>
  <c r="B53" i="3"/>
  <c r="C53" i="3"/>
  <c r="D53" i="3"/>
  <c r="F53" i="3"/>
  <c r="G53" i="3"/>
  <c r="H53" i="3"/>
  <c r="P53" i="3"/>
  <c r="S53" i="3"/>
  <c r="Q53" i="3" s="1"/>
  <c r="U53" i="3"/>
  <c r="W53" i="3"/>
  <c r="Z53" i="3"/>
  <c r="AC53" i="3"/>
  <c r="A54" i="3"/>
  <c r="B54" i="3"/>
  <c r="C54" i="3"/>
  <c r="D54" i="3"/>
  <c r="F54" i="3"/>
  <c r="G54" i="3"/>
  <c r="H54" i="3"/>
  <c r="P54" i="3"/>
  <c r="S54" i="3"/>
  <c r="Q54" i="3" s="1"/>
  <c r="U54" i="3"/>
  <c r="W54" i="3"/>
  <c r="Z54" i="3"/>
  <c r="AC54" i="3"/>
  <c r="A55" i="3"/>
  <c r="B55" i="3"/>
  <c r="C55" i="3"/>
  <c r="D55" i="3"/>
  <c r="F55" i="3"/>
  <c r="G55" i="3"/>
  <c r="H55" i="3"/>
  <c r="P55" i="3"/>
  <c r="S55" i="3"/>
  <c r="Q55" i="3" s="1"/>
  <c r="U55" i="3"/>
  <c r="W55" i="3"/>
  <c r="Z55" i="3"/>
  <c r="AC55" i="3"/>
  <c r="A38" i="3"/>
  <c r="B38" i="3"/>
  <c r="C38" i="3"/>
  <c r="D38" i="3"/>
  <c r="F38" i="3"/>
  <c r="G38" i="3"/>
  <c r="H38" i="3"/>
  <c r="P38" i="3"/>
  <c r="S38" i="3"/>
  <c r="U38" i="3"/>
  <c r="W38" i="3"/>
  <c r="Z38" i="3"/>
  <c r="AC38" i="3"/>
  <c r="A39" i="3"/>
  <c r="B39" i="3"/>
  <c r="C39" i="3"/>
  <c r="D39" i="3"/>
  <c r="F39" i="3"/>
  <c r="G39" i="3"/>
  <c r="H39" i="3"/>
  <c r="P39" i="3"/>
  <c r="S39" i="3"/>
  <c r="Q39" i="3" s="1"/>
  <c r="U39" i="3"/>
  <c r="W39" i="3"/>
  <c r="Z39" i="3"/>
  <c r="AC39" i="3"/>
  <c r="A40" i="3"/>
  <c r="B40" i="3"/>
  <c r="C40" i="3"/>
  <c r="D40" i="3"/>
  <c r="F40" i="3"/>
  <c r="G40" i="3"/>
  <c r="H40" i="3"/>
  <c r="P40" i="3"/>
  <c r="S40" i="3"/>
  <c r="Q40" i="3" s="1"/>
  <c r="U40" i="3"/>
  <c r="W40" i="3"/>
  <c r="Z40" i="3"/>
  <c r="AC40" i="3"/>
  <c r="A41" i="3"/>
  <c r="B41" i="3"/>
  <c r="C41" i="3"/>
  <c r="D41" i="3"/>
  <c r="F41" i="3"/>
  <c r="G41" i="3"/>
  <c r="H41" i="3"/>
  <c r="P41" i="3"/>
  <c r="S41" i="3"/>
  <c r="U41" i="3"/>
  <c r="W41" i="3"/>
  <c r="Z41" i="3"/>
  <c r="AC41" i="3"/>
  <c r="A42" i="3"/>
  <c r="B42" i="3"/>
  <c r="C42" i="3"/>
  <c r="D42" i="3"/>
  <c r="F42" i="3"/>
  <c r="G42" i="3"/>
  <c r="H42" i="3"/>
  <c r="P42" i="3"/>
  <c r="S42" i="3"/>
  <c r="Q42" i="3" s="1"/>
  <c r="U42" i="3"/>
  <c r="W42" i="3"/>
  <c r="Z42" i="3"/>
  <c r="AC42" i="3"/>
  <c r="A43" i="3"/>
  <c r="B43" i="3"/>
  <c r="C43" i="3"/>
  <c r="D43" i="3"/>
  <c r="F43" i="3"/>
  <c r="G43" i="3"/>
  <c r="H43" i="3"/>
  <c r="P43" i="3"/>
  <c r="S43" i="3"/>
  <c r="U43" i="3"/>
  <c r="W43" i="3"/>
  <c r="Z43" i="3"/>
  <c r="AC43" i="3"/>
  <c r="A44" i="3"/>
  <c r="B44" i="3"/>
  <c r="C44" i="3"/>
  <c r="D44" i="3"/>
  <c r="F44" i="3"/>
  <c r="G44" i="3"/>
  <c r="H44" i="3"/>
  <c r="P44" i="3"/>
  <c r="S44" i="3"/>
  <c r="Q44" i="3" s="1"/>
  <c r="U44" i="3"/>
  <c r="W44" i="3"/>
  <c r="Z44" i="3"/>
  <c r="AC44" i="3"/>
  <c r="A45" i="3"/>
  <c r="B45" i="3"/>
  <c r="C45" i="3"/>
  <c r="D45" i="3"/>
  <c r="F45" i="3"/>
  <c r="G45" i="3"/>
  <c r="H45" i="3"/>
  <c r="P45" i="3"/>
  <c r="S45" i="3"/>
  <c r="Q45" i="3" s="1"/>
  <c r="U45" i="3"/>
  <c r="W45" i="3"/>
  <c r="Z45" i="3"/>
  <c r="AC45" i="3"/>
  <c r="A46" i="3"/>
  <c r="B46" i="3"/>
  <c r="C46" i="3"/>
  <c r="D46" i="3"/>
  <c r="F46" i="3"/>
  <c r="G46" i="3"/>
  <c r="H46" i="3"/>
  <c r="P46" i="3"/>
  <c r="S46" i="3"/>
  <c r="Q46" i="3" s="1"/>
  <c r="U46" i="3"/>
  <c r="W46" i="3"/>
  <c r="Z46" i="3"/>
  <c r="AC46" i="3"/>
  <c r="A36" i="3"/>
  <c r="B36" i="3"/>
  <c r="C36" i="3"/>
  <c r="D36" i="3"/>
  <c r="F36" i="3"/>
  <c r="G36" i="3"/>
  <c r="H36" i="3"/>
  <c r="P36" i="3"/>
  <c r="S36" i="3"/>
  <c r="Q36" i="3" s="1"/>
  <c r="U36" i="3"/>
  <c r="W36" i="3"/>
  <c r="Z36" i="3"/>
  <c r="AC36" i="3"/>
  <c r="A28" i="3"/>
  <c r="B28" i="3"/>
  <c r="C28" i="3"/>
  <c r="D28" i="3"/>
  <c r="F28" i="3"/>
  <c r="G28" i="3"/>
  <c r="H28" i="3"/>
  <c r="P28" i="3"/>
  <c r="S28" i="3"/>
  <c r="Q28" i="3" s="1"/>
  <c r="U28" i="3"/>
  <c r="W28" i="3"/>
  <c r="Z28" i="3"/>
  <c r="AC28" i="3"/>
  <c r="A29" i="3"/>
  <c r="B29" i="3"/>
  <c r="C29" i="3"/>
  <c r="D29" i="3"/>
  <c r="F29" i="3"/>
  <c r="G29" i="3"/>
  <c r="H29" i="3"/>
  <c r="P29" i="3"/>
  <c r="S29" i="3"/>
  <c r="Q29" i="3" s="1"/>
  <c r="U29" i="3"/>
  <c r="W29" i="3"/>
  <c r="Z29" i="3"/>
  <c r="AC29" i="3"/>
  <c r="A30" i="3"/>
  <c r="B30" i="3"/>
  <c r="C30" i="3"/>
  <c r="D30" i="3"/>
  <c r="F30" i="3"/>
  <c r="G30" i="3"/>
  <c r="H30" i="3"/>
  <c r="P30" i="3"/>
  <c r="S30" i="3"/>
  <c r="Q30" i="3" s="1"/>
  <c r="U30" i="3"/>
  <c r="W30" i="3"/>
  <c r="Z30" i="3"/>
  <c r="AC30" i="3"/>
  <c r="A18" i="3"/>
  <c r="B18" i="3"/>
  <c r="C18" i="3"/>
  <c r="D18" i="3"/>
  <c r="F18" i="3"/>
  <c r="G18" i="3"/>
  <c r="H18" i="3"/>
  <c r="P18" i="3"/>
  <c r="S18" i="3"/>
  <c r="Q18" i="3" s="1"/>
  <c r="U18" i="3"/>
  <c r="W18" i="3"/>
  <c r="Z18" i="3"/>
  <c r="AC18" i="3"/>
  <c r="A19" i="3"/>
  <c r="B19" i="3"/>
  <c r="C19" i="3"/>
  <c r="D19" i="3"/>
  <c r="F19" i="3"/>
  <c r="G19" i="3"/>
  <c r="H19" i="3"/>
  <c r="P19" i="3"/>
  <c r="S19" i="3"/>
  <c r="U19" i="3"/>
  <c r="W19" i="3"/>
  <c r="Z19" i="3"/>
  <c r="AC19" i="3"/>
  <c r="A20" i="3"/>
  <c r="B20" i="3"/>
  <c r="C20" i="3"/>
  <c r="D20" i="3"/>
  <c r="F20" i="3"/>
  <c r="G20" i="3"/>
  <c r="H20" i="3"/>
  <c r="P20" i="3"/>
  <c r="S20" i="3"/>
  <c r="Q20" i="3" s="1"/>
  <c r="U20" i="3"/>
  <c r="W20" i="3"/>
  <c r="Z20" i="3"/>
  <c r="AC20" i="3"/>
  <c r="A21" i="3"/>
  <c r="B21" i="3"/>
  <c r="C21" i="3"/>
  <c r="D21" i="3"/>
  <c r="F21" i="3"/>
  <c r="G21" i="3"/>
  <c r="H21" i="3"/>
  <c r="P21" i="3"/>
  <c r="S21" i="3"/>
  <c r="U21" i="3"/>
  <c r="W21" i="3"/>
  <c r="Z21" i="3"/>
  <c r="AC21" i="3"/>
  <c r="A22" i="3"/>
  <c r="B22" i="3"/>
  <c r="C22" i="3"/>
  <c r="D22" i="3"/>
  <c r="F22" i="3"/>
  <c r="G22" i="3"/>
  <c r="H22" i="3"/>
  <c r="P22" i="3"/>
  <c r="S22" i="3"/>
  <c r="Q22" i="3" s="1"/>
  <c r="U22" i="3"/>
  <c r="W22" i="3"/>
  <c r="Z22" i="3"/>
  <c r="AC22" i="3"/>
  <c r="A16" i="3"/>
  <c r="B16" i="3"/>
  <c r="C16" i="3"/>
  <c r="D16" i="3"/>
  <c r="F16" i="3"/>
  <c r="G16" i="3"/>
  <c r="H16" i="3"/>
  <c r="P16" i="3"/>
  <c r="S16" i="3"/>
  <c r="Q16" i="3" s="1"/>
  <c r="U16" i="3"/>
  <c r="W16" i="3"/>
  <c r="Z16" i="3"/>
  <c r="AC16" i="3"/>
  <c r="A17" i="3"/>
  <c r="B17" i="3"/>
  <c r="C17" i="3"/>
  <c r="D17" i="3"/>
  <c r="F17" i="3"/>
  <c r="G17" i="3"/>
  <c r="H17" i="3"/>
  <c r="P17" i="3"/>
  <c r="S17" i="3"/>
  <c r="Q17" i="3" s="1"/>
  <c r="U17" i="3"/>
  <c r="W17" i="3"/>
  <c r="Z17" i="3"/>
  <c r="AC17" i="3"/>
  <c r="A3" i="3"/>
  <c r="B3" i="3"/>
  <c r="C3" i="3"/>
  <c r="D3" i="3"/>
  <c r="F3" i="3"/>
  <c r="G3" i="3"/>
  <c r="H3" i="3"/>
  <c r="P3" i="3"/>
  <c r="S3" i="3"/>
  <c r="U3" i="3"/>
  <c r="W3" i="3"/>
  <c r="Z3" i="3"/>
  <c r="AC3" i="3"/>
  <c r="A4" i="3"/>
  <c r="B4" i="3"/>
  <c r="C4" i="3"/>
  <c r="D4" i="3"/>
  <c r="F4" i="3"/>
  <c r="G4" i="3"/>
  <c r="H4" i="3"/>
  <c r="P4" i="3"/>
  <c r="S4" i="3"/>
  <c r="Q4" i="3" s="1"/>
  <c r="U4" i="3"/>
  <c r="W4" i="3"/>
  <c r="Z4" i="3"/>
  <c r="AC4" i="3"/>
  <c r="A5" i="3"/>
  <c r="B5" i="3"/>
  <c r="C5" i="3"/>
  <c r="D5" i="3"/>
  <c r="F5" i="3"/>
  <c r="G5" i="3"/>
  <c r="H5" i="3"/>
  <c r="P5" i="3"/>
  <c r="S5" i="3"/>
  <c r="Q5" i="3" s="1"/>
  <c r="U5" i="3"/>
  <c r="W5" i="3"/>
  <c r="Z5" i="3"/>
  <c r="AC5" i="3"/>
  <c r="A6" i="3"/>
  <c r="B6" i="3"/>
  <c r="C6" i="3"/>
  <c r="D6" i="3"/>
  <c r="F6" i="3"/>
  <c r="G6" i="3"/>
  <c r="H6" i="3"/>
  <c r="P6" i="3"/>
  <c r="S6" i="3"/>
  <c r="Q6" i="3" s="1"/>
  <c r="U6" i="3"/>
  <c r="W6" i="3"/>
  <c r="Z6" i="3"/>
  <c r="AC6" i="3"/>
  <c r="A7" i="3"/>
  <c r="B7" i="3"/>
  <c r="C7" i="3"/>
  <c r="D7" i="3"/>
  <c r="F7" i="3"/>
  <c r="G7" i="3"/>
  <c r="H7" i="3"/>
  <c r="P7" i="3"/>
  <c r="S7" i="3"/>
  <c r="Q7" i="3" s="1"/>
  <c r="U7" i="3"/>
  <c r="W7" i="3"/>
  <c r="Z7" i="3"/>
  <c r="AC7" i="3"/>
  <c r="AA173" i="3" l="1"/>
  <c r="AB168" i="3"/>
  <c r="J171" i="3"/>
  <c r="AA174" i="3"/>
  <c r="AA171" i="3"/>
  <c r="AB180" i="3"/>
  <c r="AB175" i="3"/>
  <c r="AB174" i="3"/>
  <c r="Q180" i="3"/>
  <c r="J193" i="3"/>
  <c r="J192" i="3"/>
  <c r="J191" i="3"/>
  <c r="J190" i="3"/>
  <c r="J189" i="3"/>
  <c r="J186" i="3"/>
  <c r="J188" i="3"/>
  <c r="J187" i="3"/>
  <c r="AA184" i="3"/>
  <c r="AA183" i="3"/>
  <c r="AA182" i="3"/>
  <c r="AA181" i="3"/>
  <c r="AB181" i="3"/>
  <c r="AA169" i="3"/>
  <c r="J168" i="3"/>
  <c r="AB173" i="3"/>
  <c r="AA168" i="3"/>
  <c r="AA186" i="3"/>
  <c r="AB169" i="3"/>
  <c r="AA167" i="3"/>
  <c r="J167" i="3"/>
  <c r="J175" i="3"/>
  <c r="J174" i="3"/>
  <c r="AA172" i="3"/>
  <c r="AB178" i="3"/>
  <c r="AA175" i="3"/>
  <c r="J173" i="3"/>
  <c r="Q176" i="3"/>
  <c r="J179" i="3"/>
  <c r="J178" i="3"/>
  <c r="Q175" i="3"/>
  <c r="AB182" i="3"/>
  <c r="Q174" i="3"/>
  <c r="AA179" i="3"/>
  <c r="AA178" i="3"/>
  <c r="AB171" i="3"/>
  <c r="J172" i="3"/>
  <c r="AB172" i="3"/>
  <c r="AB200" i="3"/>
  <c r="Q172" i="3"/>
  <c r="J170" i="3"/>
  <c r="Q200" i="3"/>
  <c r="AA185" i="3"/>
  <c r="AA170" i="3"/>
  <c r="J169" i="3"/>
  <c r="AB186" i="3"/>
  <c r="AB185" i="3"/>
  <c r="Q182" i="3"/>
  <c r="AB183" i="3"/>
  <c r="AA180" i="3"/>
  <c r="AB176" i="3"/>
  <c r="AA177" i="3"/>
  <c r="AA176" i="3"/>
  <c r="AA166" i="3"/>
  <c r="AA165" i="3"/>
  <c r="AA164" i="3"/>
  <c r="AB166" i="3"/>
  <c r="AB164" i="3"/>
  <c r="Q181" i="3"/>
  <c r="Q169" i="3"/>
  <c r="AB170" i="3"/>
  <c r="AB177" i="3"/>
  <c r="AB165" i="3"/>
  <c r="AA200" i="3"/>
  <c r="AB184" i="3"/>
  <c r="AB179" i="3"/>
  <c r="AB167" i="3"/>
  <c r="AB141" i="3"/>
  <c r="AA144" i="3"/>
  <c r="AA143" i="3"/>
  <c r="AA142" i="3"/>
  <c r="AB142" i="3"/>
  <c r="AA140" i="3"/>
  <c r="J139" i="3"/>
  <c r="J145" i="3"/>
  <c r="J144" i="3"/>
  <c r="AA145" i="3"/>
  <c r="AB143" i="3"/>
  <c r="AB140" i="3"/>
  <c r="J143" i="3"/>
  <c r="AB144" i="3"/>
  <c r="J142" i="3"/>
  <c r="J141" i="3"/>
  <c r="J140" i="3"/>
  <c r="Q142" i="3"/>
  <c r="Q140" i="3"/>
  <c r="AA141" i="3"/>
  <c r="AA139" i="3"/>
  <c r="AB160" i="3"/>
  <c r="AB148" i="3"/>
  <c r="J160" i="3"/>
  <c r="AB145" i="3"/>
  <c r="AB151" i="3"/>
  <c r="J151" i="3"/>
  <c r="AA157" i="3"/>
  <c r="AB153" i="3"/>
  <c r="AA150" i="3"/>
  <c r="J148" i="3"/>
  <c r="J150" i="3"/>
  <c r="J162" i="3"/>
  <c r="J161" i="3"/>
  <c r="AB157" i="3"/>
  <c r="J155" i="3"/>
  <c r="J154" i="3"/>
  <c r="J159" i="3"/>
  <c r="J158" i="3"/>
  <c r="J156" i="3"/>
  <c r="AB159" i="3"/>
  <c r="AA152" i="3"/>
  <c r="J153" i="3"/>
  <c r="J149" i="3"/>
  <c r="J157" i="3"/>
  <c r="AA158" i="3"/>
  <c r="AB139" i="3"/>
  <c r="J152" i="3"/>
  <c r="AB152" i="3"/>
  <c r="AA149" i="3"/>
  <c r="AA148" i="3"/>
  <c r="AA156" i="3"/>
  <c r="AA154" i="3"/>
  <c r="AA163" i="3"/>
  <c r="AB150" i="3"/>
  <c r="AA155" i="3"/>
  <c r="AA153" i="3"/>
  <c r="Q148" i="3"/>
  <c r="AA159" i="3"/>
  <c r="AB158" i="3"/>
  <c r="AA151" i="3"/>
  <c r="AA160" i="3"/>
  <c r="AB155" i="3"/>
  <c r="Q153" i="3"/>
  <c r="AB154" i="3"/>
  <c r="AB149" i="3"/>
  <c r="Q150" i="3"/>
  <c r="Q157" i="3"/>
  <c r="AB156" i="3"/>
  <c r="AA161" i="3"/>
  <c r="Q160" i="3"/>
  <c r="AA162" i="3"/>
  <c r="AB162" i="3"/>
  <c r="AB161" i="3"/>
  <c r="Q161" i="3"/>
  <c r="AB163" i="3"/>
  <c r="AA135" i="3"/>
  <c r="Q162" i="3"/>
  <c r="Q163" i="3"/>
  <c r="AB124" i="3"/>
  <c r="AA131" i="3"/>
  <c r="AA132" i="3"/>
  <c r="AB137" i="3"/>
  <c r="AA126" i="3"/>
  <c r="AB128" i="3"/>
  <c r="AA123" i="3"/>
  <c r="AA133" i="3"/>
  <c r="AB123" i="3"/>
  <c r="AB133" i="3"/>
  <c r="AA129" i="3"/>
  <c r="AA127" i="3"/>
  <c r="Q133" i="3"/>
  <c r="Q123" i="3"/>
  <c r="AA137" i="3"/>
  <c r="AA128" i="3"/>
  <c r="AA136" i="3"/>
  <c r="AB130" i="3"/>
  <c r="AB129" i="3"/>
  <c r="AB132" i="3"/>
  <c r="AA125" i="3"/>
  <c r="AB135" i="3"/>
  <c r="Q129" i="3"/>
  <c r="J134" i="3"/>
  <c r="J133" i="3"/>
  <c r="AA134" i="3"/>
  <c r="AB126" i="3"/>
  <c r="AA124" i="3"/>
  <c r="J130" i="3"/>
  <c r="J132" i="3"/>
  <c r="J131" i="3"/>
  <c r="AA130" i="3"/>
  <c r="Q126" i="3"/>
  <c r="J129" i="3"/>
  <c r="AB125" i="3"/>
  <c r="J128" i="3"/>
  <c r="J127" i="3"/>
  <c r="J123" i="3"/>
  <c r="J126" i="3"/>
  <c r="J137" i="3"/>
  <c r="J125" i="3"/>
  <c r="J136" i="3"/>
  <c r="J124" i="3"/>
  <c r="AB127" i="3"/>
  <c r="J135" i="3"/>
  <c r="AB134" i="3"/>
  <c r="Q128" i="3"/>
  <c r="AB91" i="3"/>
  <c r="AB105" i="3"/>
  <c r="AB131" i="3"/>
  <c r="Q125" i="3"/>
  <c r="AB136" i="3"/>
  <c r="AB111" i="3"/>
  <c r="Q130" i="3"/>
  <c r="AA111" i="3"/>
  <c r="AB146" i="3"/>
  <c r="AA146" i="3"/>
  <c r="AA138" i="3"/>
  <c r="AB120" i="3"/>
  <c r="AB122" i="3"/>
  <c r="AA120" i="3"/>
  <c r="AA121" i="3"/>
  <c r="AA122" i="3"/>
  <c r="J119" i="3"/>
  <c r="J118" i="3"/>
  <c r="J117" i="3"/>
  <c r="AB112" i="3"/>
  <c r="J116" i="3"/>
  <c r="AB121" i="3"/>
  <c r="AA114" i="3"/>
  <c r="J115" i="3"/>
  <c r="AA91" i="3"/>
  <c r="AA105" i="3"/>
  <c r="AB116" i="3"/>
  <c r="J114" i="3"/>
  <c r="AB138" i="3"/>
  <c r="J113" i="3"/>
  <c r="AA118" i="3"/>
  <c r="J112" i="3"/>
  <c r="J111" i="3"/>
  <c r="J110" i="3"/>
  <c r="J109" i="3"/>
  <c r="J108" i="3"/>
  <c r="AA109" i="3"/>
  <c r="AA112" i="3"/>
  <c r="AA117" i="3"/>
  <c r="AA92" i="3"/>
  <c r="AA116" i="3"/>
  <c r="AB113" i="3"/>
  <c r="AB115" i="3"/>
  <c r="AB104" i="3"/>
  <c r="AA113" i="3"/>
  <c r="AB109" i="3"/>
  <c r="AB119" i="3"/>
  <c r="AA119" i="3"/>
  <c r="AA110" i="3"/>
  <c r="AA104" i="3"/>
  <c r="AB118" i="3"/>
  <c r="AB110" i="3"/>
  <c r="AA115" i="3"/>
  <c r="Q116" i="3"/>
  <c r="AA103" i="3"/>
  <c r="AA90" i="3"/>
  <c r="AB96" i="3"/>
  <c r="AB114" i="3"/>
  <c r="AB117" i="3"/>
  <c r="J105" i="3"/>
  <c r="AA100" i="3"/>
  <c r="J103" i="3"/>
  <c r="J104" i="3"/>
  <c r="AB102" i="3"/>
  <c r="AB100" i="3"/>
  <c r="AA102" i="3"/>
  <c r="AA101" i="3"/>
  <c r="AA106" i="3"/>
  <c r="Q105" i="3"/>
  <c r="Q100" i="3"/>
  <c r="AB101" i="3"/>
  <c r="AA93" i="3"/>
  <c r="AA98" i="3"/>
  <c r="AB103" i="3"/>
  <c r="AB89" i="3"/>
  <c r="AA107" i="3"/>
  <c r="AA97" i="3"/>
  <c r="J91" i="3"/>
  <c r="AB106" i="3"/>
  <c r="AA96" i="3"/>
  <c r="AA87" i="3"/>
  <c r="AB107" i="3"/>
  <c r="AA84" i="3"/>
  <c r="AB97" i="3"/>
  <c r="AA85" i="3"/>
  <c r="AA83" i="3"/>
  <c r="Q91" i="3"/>
  <c r="AA89" i="3"/>
  <c r="J90" i="3"/>
  <c r="AB90" i="3"/>
  <c r="AA88" i="3"/>
  <c r="J89" i="3"/>
  <c r="J88" i="3"/>
  <c r="AB92" i="3"/>
  <c r="J96" i="3"/>
  <c r="J99" i="3"/>
  <c r="J98" i="3"/>
  <c r="AB87" i="3"/>
  <c r="J97" i="3"/>
  <c r="J87" i="3"/>
  <c r="J93" i="3"/>
  <c r="J92" i="3"/>
  <c r="AA95" i="3"/>
  <c r="AA94" i="3"/>
  <c r="AB94" i="3"/>
  <c r="AA86" i="3"/>
  <c r="AB84" i="3"/>
  <c r="AB86" i="3"/>
  <c r="AB82" i="3"/>
  <c r="AA82" i="3"/>
  <c r="AB88" i="3"/>
  <c r="Q82" i="3"/>
  <c r="Q87" i="3"/>
  <c r="AB147" i="3"/>
  <c r="AB95" i="3"/>
  <c r="AB83" i="3"/>
  <c r="AB93" i="3"/>
  <c r="AA108" i="3"/>
  <c r="AB85" i="3"/>
  <c r="Q97" i="3"/>
  <c r="AB98" i="3"/>
  <c r="AA99" i="3"/>
  <c r="AA147" i="3"/>
  <c r="AB108" i="3"/>
  <c r="AB99" i="3"/>
  <c r="AB69" i="3"/>
  <c r="AB79" i="3"/>
  <c r="AA79" i="3"/>
  <c r="AA71" i="3"/>
  <c r="AA70" i="3"/>
  <c r="AB71" i="3"/>
  <c r="AA69" i="3"/>
  <c r="AB70" i="3"/>
  <c r="Q71" i="3"/>
  <c r="AA59" i="3"/>
  <c r="AB59" i="3"/>
  <c r="AA61" i="3"/>
  <c r="AA60" i="3"/>
  <c r="AB61" i="3"/>
  <c r="AB52" i="3"/>
  <c r="Q52" i="3"/>
  <c r="AB60" i="3"/>
  <c r="AA52" i="3"/>
  <c r="AA55" i="3"/>
  <c r="AB53" i="3"/>
  <c r="AA53" i="3"/>
  <c r="AA54" i="3"/>
  <c r="AB55" i="3"/>
  <c r="AA38" i="3"/>
  <c r="AB54" i="3"/>
  <c r="AB38" i="3"/>
  <c r="AA44" i="3"/>
  <c r="AB39" i="3"/>
  <c r="AB45" i="3"/>
  <c r="AA42" i="3"/>
  <c r="AA40" i="3"/>
  <c r="AA45" i="3"/>
  <c r="AA43" i="3"/>
  <c r="AA41" i="3"/>
  <c r="AB41" i="3"/>
  <c r="AB43" i="3"/>
  <c r="AB40" i="3"/>
  <c r="Q41" i="3"/>
  <c r="Q43" i="3"/>
  <c r="Q38" i="3"/>
  <c r="AB46" i="3"/>
  <c r="AB42" i="3"/>
  <c r="AB44" i="3"/>
  <c r="AA39" i="3"/>
  <c r="AA46" i="3"/>
  <c r="AB36" i="3"/>
  <c r="AA36" i="3"/>
  <c r="AB28" i="3"/>
  <c r="AB30" i="3"/>
  <c r="AA19" i="3"/>
  <c r="AB19" i="3"/>
  <c r="AA30" i="3"/>
  <c r="AA29" i="3"/>
  <c r="AA28" i="3"/>
  <c r="AB29" i="3"/>
  <c r="AA18" i="3"/>
  <c r="AB18" i="3"/>
  <c r="Q19" i="3"/>
  <c r="AB20" i="3"/>
  <c r="AB21" i="3"/>
  <c r="AA20" i="3"/>
  <c r="AA21" i="3"/>
  <c r="Q21" i="3"/>
  <c r="AA22" i="3"/>
  <c r="AB22" i="3"/>
  <c r="AB16" i="3"/>
  <c r="AA16" i="3"/>
  <c r="AA17" i="3"/>
  <c r="AB17" i="3"/>
  <c r="AA7" i="3"/>
  <c r="AA3" i="3"/>
  <c r="AB3" i="3"/>
  <c r="AA6" i="3"/>
  <c r="AA5" i="3"/>
  <c r="AB5" i="3"/>
  <c r="AB7" i="3"/>
  <c r="AA4" i="3"/>
  <c r="Q3" i="3"/>
  <c r="AB4" i="3"/>
  <c r="AB6" i="3"/>
  <c r="J42" i="29" l="1"/>
  <c r="J43" i="29"/>
  <c r="J44" i="29"/>
  <c r="J45" i="29"/>
  <c r="J46" i="29"/>
  <c r="J47" i="29"/>
  <c r="J48" i="29"/>
  <c r="J49" i="29"/>
  <c r="J50" i="29"/>
  <c r="J51" i="29"/>
  <c r="J41" i="29"/>
  <c r="A80" i="3"/>
  <c r="B80" i="3"/>
  <c r="C80" i="3"/>
  <c r="D80" i="3"/>
  <c r="F80" i="3"/>
  <c r="G80" i="3"/>
  <c r="H80" i="3"/>
  <c r="P80" i="3"/>
  <c r="S80" i="3"/>
  <c r="Q80" i="3" s="1"/>
  <c r="U80" i="3"/>
  <c r="W80" i="3"/>
  <c r="Z80" i="3"/>
  <c r="AC80" i="3"/>
  <c r="A81" i="3"/>
  <c r="B81" i="3"/>
  <c r="C81" i="3"/>
  <c r="D81" i="3"/>
  <c r="F81" i="3"/>
  <c r="G81" i="3"/>
  <c r="H81" i="3"/>
  <c r="P81" i="3"/>
  <c r="S81" i="3"/>
  <c r="Q81" i="3" s="1"/>
  <c r="U81" i="3"/>
  <c r="W81" i="3"/>
  <c r="Z81" i="3"/>
  <c r="AC81" i="3"/>
  <c r="A72" i="3"/>
  <c r="B72" i="3"/>
  <c r="C72" i="3"/>
  <c r="D72" i="3"/>
  <c r="F72" i="3"/>
  <c r="G72" i="3"/>
  <c r="H72" i="3"/>
  <c r="P72" i="3"/>
  <c r="S72" i="3"/>
  <c r="U72" i="3"/>
  <c r="W72" i="3"/>
  <c r="Z72" i="3"/>
  <c r="AC72" i="3"/>
  <c r="A73" i="3"/>
  <c r="B73" i="3"/>
  <c r="C73" i="3"/>
  <c r="D73" i="3"/>
  <c r="F73" i="3"/>
  <c r="G73" i="3"/>
  <c r="H73" i="3"/>
  <c r="P73" i="3"/>
  <c r="S73" i="3"/>
  <c r="Q73" i="3" s="1"/>
  <c r="U73" i="3"/>
  <c r="W73" i="3"/>
  <c r="Z73" i="3"/>
  <c r="AC73" i="3"/>
  <c r="A74" i="3"/>
  <c r="B74" i="3"/>
  <c r="C74" i="3"/>
  <c r="D74" i="3"/>
  <c r="F74" i="3"/>
  <c r="G74" i="3"/>
  <c r="H74" i="3"/>
  <c r="P74" i="3"/>
  <c r="S74" i="3"/>
  <c r="U74" i="3"/>
  <c r="W74" i="3"/>
  <c r="Z74" i="3"/>
  <c r="AC74" i="3"/>
  <c r="A75" i="3"/>
  <c r="B75" i="3"/>
  <c r="C75" i="3"/>
  <c r="D75" i="3"/>
  <c r="F75" i="3"/>
  <c r="G75" i="3"/>
  <c r="H75" i="3"/>
  <c r="P75" i="3"/>
  <c r="S75" i="3"/>
  <c r="Q75" i="3" s="1"/>
  <c r="U75" i="3"/>
  <c r="W75" i="3"/>
  <c r="Z75" i="3"/>
  <c r="AC75" i="3"/>
  <c r="A76" i="3"/>
  <c r="B76" i="3"/>
  <c r="C76" i="3"/>
  <c r="D76" i="3"/>
  <c r="F76" i="3"/>
  <c r="G76" i="3"/>
  <c r="H76" i="3"/>
  <c r="P76" i="3"/>
  <c r="S76" i="3"/>
  <c r="Q76" i="3" s="1"/>
  <c r="U76" i="3"/>
  <c r="W76" i="3"/>
  <c r="Z76" i="3"/>
  <c r="AC76" i="3"/>
  <c r="A77" i="3"/>
  <c r="B77" i="3"/>
  <c r="C77" i="3"/>
  <c r="D77" i="3"/>
  <c r="F77" i="3"/>
  <c r="G77" i="3"/>
  <c r="H77" i="3"/>
  <c r="P77" i="3"/>
  <c r="S77" i="3"/>
  <c r="U77" i="3"/>
  <c r="W77" i="3"/>
  <c r="Z77" i="3"/>
  <c r="AC77" i="3"/>
  <c r="A56" i="3"/>
  <c r="B56" i="3"/>
  <c r="C56" i="3"/>
  <c r="D56" i="3"/>
  <c r="F56" i="3"/>
  <c r="G56" i="3"/>
  <c r="H56" i="3"/>
  <c r="P56" i="3"/>
  <c r="S56" i="3"/>
  <c r="Q56" i="3" s="1"/>
  <c r="U56" i="3"/>
  <c r="W56" i="3"/>
  <c r="Z56" i="3"/>
  <c r="AC56" i="3"/>
  <c r="A57" i="3"/>
  <c r="B57" i="3"/>
  <c r="C57" i="3"/>
  <c r="D57" i="3"/>
  <c r="F57" i="3"/>
  <c r="G57" i="3"/>
  <c r="H57" i="3"/>
  <c r="P57" i="3"/>
  <c r="S57" i="3"/>
  <c r="Q57" i="3" s="1"/>
  <c r="U57" i="3"/>
  <c r="W57" i="3"/>
  <c r="Z57" i="3"/>
  <c r="AC57" i="3"/>
  <c r="A68" i="3"/>
  <c r="B68" i="3"/>
  <c r="C68" i="3"/>
  <c r="D68" i="3"/>
  <c r="F68" i="3"/>
  <c r="G68" i="3"/>
  <c r="H68" i="3"/>
  <c r="P68" i="3"/>
  <c r="S68" i="3"/>
  <c r="U68" i="3"/>
  <c r="W68" i="3"/>
  <c r="Z68" i="3"/>
  <c r="AC68" i="3"/>
  <c r="A78" i="3"/>
  <c r="B78" i="3"/>
  <c r="C78" i="3"/>
  <c r="D78" i="3"/>
  <c r="F78" i="3"/>
  <c r="G78" i="3"/>
  <c r="H78" i="3"/>
  <c r="P78" i="3"/>
  <c r="S78" i="3"/>
  <c r="U78" i="3"/>
  <c r="W78" i="3"/>
  <c r="Z78" i="3"/>
  <c r="AC78" i="3"/>
  <c r="A62" i="3"/>
  <c r="B62" i="3"/>
  <c r="C62" i="3"/>
  <c r="D62" i="3"/>
  <c r="F62" i="3"/>
  <c r="G62" i="3"/>
  <c r="H62" i="3"/>
  <c r="P62" i="3"/>
  <c r="S62" i="3"/>
  <c r="Q62" i="3" s="1"/>
  <c r="U62" i="3"/>
  <c r="W62" i="3"/>
  <c r="Z62" i="3"/>
  <c r="AC62" i="3"/>
  <c r="A63" i="3"/>
  <c r="B63" i="3"/>
  <c r="C63" i="3"/>
  <c r="D63" i="3"/>
  <c r="F63" i="3"/>
  <c r="G63" i="3"/>
  <c r="H63" i="3"/>
  <c r="P63" i="3"/>
  <c r="S63" i="3"/>
  <c r="U63" i="3"/>
  <c r="W63" i="3"/>
  <c r="Z63" i="3"/>
  <c r="AC63" i="3"/>
  <c r="A64" i="3"/>
  <c r="B64" i="3"/>
  <c r="C64" i="3"/>
  <c r="D64" i="3"/>
  <c r="F64" i="3"/>
  <c r="G64" i="3"/>
  <c r="H64" i="3"/>
  <c r="P64" i="3"/>
  <c r="S64" i="3"/>
  <c r="Q64" i="3" s="1"/>
  <c r="U64" i="3"/>
  <c r="W64" i="3"/>
  <c r="Z64" i="3"/>
  <c r="AC64" i="3"/>
  <c r="A65" i="3"/>
  <c r="B65" i="3"/>
  <c r="C65" i="3"/>
  <c r="D65" i="3"/>
  <c r="F65" i="3"/>
  <c r="G65" i="3"/>
  <c r="H65" i="3"/>
  <c r="P65" i="3"/>
  <c r="S65" i="3"/>
  <c r="Q65" i="3" s="1"/>
  <c r="U65" i="3"/>
  <c r="W65" i="3"/>
  <c r="Z65" i="3"/>
  <c r="AC65" i="3"/>
  <c r="A66" i="3"/>
  <c r="B66" i="3"/>
  <c r="C66" i="3"/>
  <c r="D66" i="3"/>
  <c r="F66" i="3"/>
  <c r="G66" i="3"/>
  <c r="H66" i="3"/>
  <c r="P66" i="3"/>
  <c r="S66" i="3"/>
  <c r="Q66" i="3" s="1"/>
  <c r="U66" i="3"/>
  <c r="W66" i="3"/>
  <c r="Z66" i="3"/>
  <c r="AC66" i="3"/>
  <c r="A67" i="3"/>
  <c r="B67" i="3"/>
  <c r="C67" i="3"/>
  <c r="D67" i="3"/>
  <c r="F67" i="3"/>
  <c r="G67" i="3"/>
  <c r="H67" i="3"/>
  <c r="P67" i="3"/>
  <c r="S67" i="3"/>
  <c r="Q67" i="3" s="1"/>
  <c r="U67" i="3"/>
  <c r="W67" i="3"/>
  <c r="Z67" i="3"/>
  <c r="AC67" i="3"/>
  <c r="A58" i="3"/>
  <c r="B58" i="3"/>
  <c r="C58" i="3"/>
  <c r="D58" i="3"/>
  <c r="F58" i="3"/>
  <c r="G58" i="3"/>
  <c r="H58" i="3"/>
  <c r="P58" i="3"/>
  <c r="S58" i="3"/>
  <c r="U58" i="3"/>
  <c r="W58" i="3"/>
  <c r="Z58" i="3"/>
  <c r="AC58" i="3"/>
  <c r="P37" i="3"/>
  <c r="A47" i="3"/>
  <c r="B47" i="3"/>
  <c r="C47" i="3"/>
  <c r="D47" i="3"/>
  <c r="F47" i="3"/>
  <c r="G47" i="3"/>
  <c r="H47" i="3"/>
  <c r="P47" i="3"/>
  <c r="S47" i="3"/>
  <c r="U47" i="3"/>
  <c r="W47" i="3"/>
  <c r="Z47" i="3"/>
  <c r="AC47" i="3"/>
  <c r="A48" i="3"/>
  <c r="B48" i="3"/>
  <c r="C48" i="3"/>
  <c r="D48" i="3"/>
  <c r="F48" i="3"/>
  <c r="G48" i="3"/>
  <c r="H48" i="3"/>
  <c r="P48" i="3"/>
  <c r="S48" i="3"/>
  <c r="Q48" i="3" s="1"/>
  <c r="U48" i="3"/>
  <c r="W48" i="3"/>
  <c r="Z48" i="3"/>
  <c r="AC48" i="3"/>
  <c r="A49" i="3"/>
  <c r="B49" i="3"/>
  <c r="C49" i="3"/>
  <c r="D49" i="3"/>
  <c r="F49" i="3"/>
  <c r="G49" i="3"/>
  <c r="H49" i="3"/>
  <c r="P49" i="3"/>
  <c r="S49" i="3"/>
  <c r="U49" i="3"/>
  <c r="W49" i="3"/>
  <c r="Z49" i="3"/>
  <c r="AC49" i="3"/>
  <c r="A50" i="3"/>
  <c r="B50" i="3"/>
  <c r="C50" i="3"/>
  <c r="D50" i="3"/>
  <c r="F50" i="3"/>
  <c r="G50" i="3"/>
  <c r="H50" i="3"/>
  <c r="P50" i="3"/>
  <c r="S50" i="3"/>
  <c r="U50" i="3"/>
  <c r="W50" i="3"/>
  <c r="Z50" i="3"/>
  <c r="AC50" i="3"/>
  <c r="A51" i="3"/>
  <c r="B51" i="3"/>
  <c r="C51" i="3"/>
  <c r="D51" i="3"/>
  <c r="F51" i="3"/>
  <c r="G51" i="3"/>
  <c r="H51" i="3"/>
  <c r="P51" i="3"/>
  <c r="S51" i="3"/>
  <c r="U51" i="3"/>
  <c r="W51" i="3"/>
  <c r="Z51" i="3"/>
  <c r="AC51" i="3"/>
  <c r="A37" i="3"/>
  <c r="B37" i="3"/>
  <c r="C37" i="3"/>
  <c r="D37" i="3"/>
  <c r="F37" i="3"/>
  <c r="G37" i="3"/>
  <c r="H37" i="3"/>
  <c r="S37" i="3"/>
  <c r="U37" i="3"/>
  <c r="W37" i="3"/>
  <c r="Z37" i="3"/>
  <c r="AC37" i="3"/>
  <c r="J81" i="3" l="1"/>
  <c r="J80" i="3"/>
  <c r="J73" i="3"/>
  <c r="J74" i="3"/>
  <c r="J75" i="3"/>
  <c r="J76" i="3"/>
  <c r="J77" i="3"/>
  <c r="J72" i="3"/>
  <c r="Q58" i="3"/>
  <c r="J63" i="3"/>
  <c r="J64" i="3"/>
  <c r="J65" i="3"/>
  <c r="J66" i="3"/>
  <c r="J67" i="3"/>
  <c r="J62" i="3"/>
  <c r="Q37" i="3"/>
  <c r="J48" i="3"/>
  <c r="J49" i="3"/>
  <c r="J50" i="3"/>
  <c r="J51" i="3"/>
  <c r="J47" i="3"/>
  <c r="AB81" i="3"/>
  <c r="AB80" i="3"/>
  <c r="AA80" i="3"/>
  <c r="AA81" i="3"/>
  <c r="AB76" i="3"/>
  <c r="AA75" i="3"/>
  <c r="AA77" i="3"/>
  <c r="AB73" i="3"/>
  <c r="AB72" i="3"/>
  <c r="Q72" i="3"/>
  <c r="AB77" i="3"/>
  <c r="AA76" i="3"/>
  <c r="AA74" i="3"/>
  <c r="AB74" i="3"/>
  <c r="AA72" i="3"/>
  <c r="Q77" i="3"/>
  <c r="AA73" i="3"/>
  <c r="Q74" i="3"/>
  <c r="AB75" i="3"/>
  <c r="J57" i="3"/>
  <c r="AA56" i="3"/>
  <c r="AB56" i="3"/>
  <c r="AB57" i="3"/>
  <c r="AA57" i="3"/>
  <c r="AB68" i="3"/>
  <c r="AA68" i="3"/>
  <c r="Q68" i="3"/>
  <c r="AA78" i="3"/>
  <c r="AB78" i="3"/>
  <c r="Q78" i="3"/>
  <c r="AB64" i="3"/>
  <c r="AA63" i="3"/>
  <c r="AA62" i="3"/>
  <c r="AA67" i="3"/>
  <c r="AB62" i="3"/>
  <c r="AB63" i="3"/>
  <c r="AA64" i="3"/>
  <c r="Q63" i="3"/>
  <c r="AB66" i="3"/>
  <c r="AA65" i="3"/>
  <c r="AB65" i="3"/>
  <c r="AA66" i="3"/>
  <c r="AB67" i="3"/>
  <c r="AB58" i="3"/>
  <c r="AA58" i="3"/>
  <c r="AA48" i="3"/>
  <c r="AB47" i="3"/>
  <c r="AA47" i="3"/>
  <c r="AB48" i="3"/>
  <c r="Q47" i="3"/>
  <c r="AA50" i="3"/>
  <c r="AB50" i="3"/>
  <c r="AB37" i="3"/>
  <c r="AB49" i="3"/>
  <c r="AA49" i="3"/>
  <c r="Q49" i="3"/>
  <c r="AA51" i="3"/>
  <c r="AB51" i="3"/>
  <c r="Q51" i="3"/>
  <c r="Q50" i="3"/>
  <c r="AA37" i="3"/>
  <c r="B26" i="3" l="1"/>
  <c r="AC2" i="3"/>
  <c r="AC8" i="3"/>
  <c r="AC9" i="3"/>
  <c r="AC10" i="3"/>
  <c r="AC11" i="3"/>
  <c r="AC12" i="3"/>
  <c r="AC13" i="3"/>
  <c r="AC14" i="3"/>
  <c r="AC15" i="3"/>
  <c r="AC23" i="3"/>
  <c r="AC24" i="3"/>
  <c r="AC25" i="3"/>
  <c r="AC26" i="3"/>
  <c r="AC27" i="3"/>
  <c r="AC31" i="3"/>
  <c r="AC32" i="3"/>
  <c r="AC33" i="3"/>
  <c r="AC34" i="3"/>
  <c r="AC35" i="3"/>
  <c r="D2" i="3" l="1"/>
  <c r="D8" i="3"/>
  <c r="D9" i="3"/>
  <c r="D10" i="3"/>
  <c r="D11" i="3"/>
  <c r="D12" i="3"/>
  <c r="D13" i="3"/>
  <c r="D14" i="3"/>
  <c r="D15" i="3"/>
  <c r="D23" i="3"/>
  <c r="D24" i="3"/>
  <c r="D25" i="3"/>
  <c r="D26" i="3"/>
  <c r="D27" i="3"/>
  <c r="D31" i="3"/>
  <c r="D32" i="3"/>
  <c r="D33" i="3"/>
  <c r="D34" i="3"/>
  <c r="D35" i="3"/>
  <c r="A31" i="3"/>
  <c r="B31" i="3"/>
  <c r="C31" i="3"/>
  <c r="F31" i="3"/>
  <c r="G31" i="3"/>
  <c r="H31" i="3"/>
  <c r="P31" i="3"/>
  <c r="S31" i="3"/>
  <c r="Q31" i="3" s="1"/>
  <c r="U31" i="3"/>
  <c r="W31" i="3"/>
  <c r="Z31" i="3"/>
  <c r="A32" i="3"/>
  <c r="B32" i="3"/>
  <c r="C32" i="3"/>
  <c r="F32" i="3"/>
  <c r="G32" i="3"/>
  <c r="H32" i="3"/>
  <c r="P32" i="3"/>
  <c r="S32" i="3"/>
  <c r="U32" i="3"/>
  <c r="W32" i="3"/>
  <c r="Z32" i="3"/>
  <c r="A33" i="3"/>
  <c r="B33" i="3"/>
  <c r="C33" i="3"/>
  <c r="F33" i="3"/>
  <c r="G33" i="3"/>
  <c r="H33" i="3"/>
  <c r="P33" i="3"/>
  <c r="S33" i="3"/>
  <c r="Q33" i="3" s="1"/>
  <c r="U33" i="3"/>
  <c r="W33" i="3"/>
  <c r="Z33" i="3"/>
  <c r="A34" i="3"/>
  <c r="B34" i="3"/>
  <c r="C34" i="3"/>
  <c r="F34" i="3"/>
  <c r="G34" i="3"/>
  <c r="H34" i="3"/>
  <c r="P34" i="3"/>
  <c r="S34" i="3"/>
  <c r="Q34" i="3" s="1"/>
  <c r="U34" i="3"/>
  <c r="W34" i="3"/>
  <c r="Z34" i="3"/>
  <c r="A23" i="3"/>
  <c r="B23" i="3"/>
  <c r="C23" i="3"/>
  <c r="F23" i="3"/>
  <c r="G23" i="3"/>
  <c r="H23" i="3"/>
  <c r="P23" i="3"/>
  <c r="S23" i="3"/>
  <c r="U23" i="3"/>
  <c r="W23" i="3"/>
  <c r="Z23" i="3"/>
  <c r="A24" i="3"/>
  <c r="B24" i="3"/>
  <c r="C24" i="3"/>
  <c r="F24" i="3"/>
  <c r="G24" i="3"/>
  <c r="H24" i="3"/>
  <c r="P24" i="3"/>
  <c r="S24" i="3"/>
  <c r="U24" i="3"/>
  <c r="W24" i="3"/>
  <c r="Z24" i="3"/>
  <c r="A25" i="3"/>
  <c r="B25" i="3"/>
  <c r="C25" i="3"/>
  <c r="F25" i="3"/>
  <c r="G25" i="3"/>
  <c r="H25" i="3"/>
  <c r="P25" i="3"/>
  <c r="S25" i="3"/>
  <c r="U25" i="3"/>
  <c r="W25" i="3"/>
  <c r="Z25" i="3"/>
  <c r="A26" i="3"/>
  <c r="C26" i="3"/>
  <c r="F26" i="3"/>
  <c r="G26" i="3"/>
  <c r="H26" i="3"/>
  <c r="P26" i="3"/>
  <c r="S26" i="3"/>
  <c r="U26" i="3"/>
  <c r="W26" i="3"/>
  <c r="Z26" i="3"/>
  <c r="A8" i="3"/>
  <c r="B8" i="3"/>
  <c r="C8" i="3"/>
  <c r="F8" i="3"/>
  <c r="H8" i="3"/>
  <c r="P8" i="3"/>
  <c r="S8" i="3"/>
  <c r="Q8" i="3" s="1"/>
  <c r="U8" i="3"/>
  <c r="W8" i="3"/>
  <c r="Z8" i="3"/>
  <c r="A9" i="3"/>
  <c r="B9" i="3"/>
  <c r="C9" i="3"/>
  <c r="F9" i="3"/>
  <c r="G9" i="3"/>
  <c r="H9" i="3"/>
  <c r="P9" i="3"/>
  <c r="S9" i="3"/>
  <c r="Q9" i="3" s="1"/>
  <c r="U9" i="3"/>
  <c r="W9" i="3"/>
  <c r="Z9" i="3"/>
  <c r="A10" i="3"/>
  <c r="B10" i="3"/>
  <c r="C10" i="3"/>
  <c r="F10" i="3"/>
  <c r="G10" i="3"/>
  <c r="H10" i="3"/>
  <c r="P10" i="3"/>
  <c r="S10" i="3"/>
  <c r="U10" i="3"/>
  <c r="W10" i="3"/>
  <c r="Z10" i="3"/>
  <c r="A11" i="3"/>
  <c r="B11" i="3"/>
  <c r="C11" i="3"/>
  <c r="F11" i="3"/>
  <c r="G11" i="3"/>
  <c r="H11" i="3"/>
  <c r="P11" i="3"/>
  <c r="S11" i="3"/>
  <c r="Q11" i="3" s="1"/>
  <c r="U11" i="3"/>
  <c r="W11" i="3"/>
  <c r="Z11" i="3"/>
  <c r="A12" i="3"/>
  <c r="B12" i="3"/>
  <c r="C12" i="3"/>
  <c r="F12" i="3"/>
  <c r="G12" i="3"/>
  <c r="H12" i="3"/>
  <c r="P12" i="3"/>
  <c r="S12" i="3"/>
  <c r="U12" i="3"/>
  <c r="W12" i="3"/>
  <c r="Z12" i="3"/>
  <c r="A13" i="3"/>
  <c r="B13" i="3"/>
  <c r="C13" i="3"/>
  <c r="F13" i="3"/>
  <c r="G13" i="3"/>
  <c r="H13" i="3"/>
  <c r="P13" i="3"/>
  <c r="S13" i="3"/>
  <c r="Q13" i="3" s="1"/>
  <c r="U13" i="3"/>
  <c r="W13" i="3"/>
  <c r="Z13" i="3"/>
  <c r="A14" i="3"/>
  <c r="B14" i="3"/>
  <c r="C14" i="3"/>
  <c r="F14" i="3"/>
  <c r="G14" i="3"/>
  <c r="H14" i="3"/>
  <c r="P14" i="3"/>
  <c r="S14" i="3"/>
  <c r="Q14" i="3" s="1"/>
  <c r="U14" i="3"/>
  <c r="W14" i="3"/>
  <c r="Z14" i="3"/>
  <c r="AB33" i="3" l="1"/>
  <c r="AB34" i="3"/>
  <c r="AB13" i="3"/>
  <c r="AB12" i="3"/>
  <c r="AB23" i="3"/>
  <c r="AB11" i="3"/>
  <c r="AB31" i="3"/>
  <c r="AB10" i="3"/>
  <c r="AB32" i="3"/>
  <c r="AB24" i="3"/>
  <c r="AB14" i="3"/>
  <c r="AB25" i="3"/>
  <c r="AB26" i="3"/>
  <c r="AB8" i="3"/>
  <c r="AB9" i="3"/>
  <c r="AA32" i="3"/>
  <c r="AA33" i="3"/>
  <c r="AA34" i="3"/>
  <c r="AA31" i="3"/>
  <c r="Q25" i="3"/>
  <c r="Q32" i="3"/>
  <c r="Q23" i="3"/>
  <c r="AA26" i="3"/>
  <c r="AA23" i="3"/>
  <c r="AA24" i="3"/>
  <c r="Q26" i="3"/>
  <c r="AA25" i="3"/>
  <c r="Q24" i="3"/>
  <c r="AA9" i="3"/>
  <c r="AA12" i="3"/>
  <c r="AA10" i="3"/>
  <c r="AA11" i="3"/>
  <c r="AA8" i="3"/>
  <c r="Q10" i="3"/>
  <c r="AA13" i="3"/>
  <c r="Q12" i="3"/>
  <c r="AA14" i="3"/>
  <c r="A35" i="3"/>
  <c r="B35" i="3"/>
  <c r="C35" i="3"/>
  <c r="F35" i="3"/>
  <c r="G35" i="3"/>
  <c r="H35" i="3"/>
  <c r="P35" i="3"/>
  <c r="S35" i="3"/>
  <c r="Q35" i="3" s="1"/>
  <c r="U35" i="3"/>
  <c r="W35" i="3"/>
  <c r="Z35" i="3"/>
  <c r="A15" i="3"/>
  <c r="B15" i="3"/>
  <c r="C15" i="3"/>
  <c r="F15" i="3"/>
  <c r="G15" i="3"/>
  <c r="H15" i="3"/>
  <c r="P15" i="3"/>
  <c r="S15" i="3"/>
  <c r="U15" i="3"/>
  <c r="W15" i="3"/>
  <c r="Z15" i="3"/>
  <c r="A27" i="3"/>
  <c r="B27" i="3"/>
  <c r="C27" i="3"/>
  <c r="F27" i="3"/>
  <c r="G27" i="3"/>
  <c r="H27" i="3"/>
  <c r="P27" i="3"/>
  <c r="S27" i="3"/>
  <c r="U27" i="3"/>
  <c r="W27" i="3"/>
  <c r="Z27" i="3"/>
  <c r="A2" i="3"/>
  <c r="B2" i="3"/>
  <c r="C2" i="3"/>
  <c r="F2" i="3"/>
  <c r="G2" i="3"/>
  <c r="H2" i="3"/>
  <c r="P2" i="3"/>
  <c r="S2" i="3"/>
  <c r="U2" i="3"/>
  <c r="W2" i="3"/>
  <c r="Z2" i="3"/>
  <c r="L26" i="1"/>
  <c r="L27" i="1"/>
  <c r="L28" i="1"/>
  <c r="L29" i="1"/>
  <c r="L30" i="1"/>
  <c r="L31" i="1"/>
  <c r="L32" i="1"/>
  <c r="L33" i="1"/>
  <c r="L34" i="1"/>
  <c r="L20" i="1"/>
  <c r="L21" i="1"/>
  <c r="L22" i="1"/>
  <c r="L23" i="1"/>
  <c r="L24" i="1"/>
  <c r="L2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I21" i="1"/>
  <c r="M21" i="1" s="1"/>
  <c r="I22" i="1"/>
  <c r="M22" i="1" s="1"/>
  <c r="I23" i="1"/>
  <c r="M23" i="1" s="1"/>
  <c r="I24" i="1"/>
  <c r="M24" i="1" s="1"/>
  <c r="I25" i="1"/>
  <c r="M25" i="1" s="1"/>
  <c r="I26" i="1"/>
  <c r="M26" i="1" s="1"/>
  <c r="I27" i="1"/>
  <c r="M27" i="1" s="1"/>
  <c r="I28" i="1"/>
  <c r="M28" i="1" s="1"/>
  <c r="I29" i="1"/>
  <c r="M29" i="1" s="1"/>
  <c r="I30" i="1"/>
  <c r="M30" i="1" s="1"/>
  <c r="I31" i="1"/>
  <c r="M31" i="1" s="1"/>
  <c r="I32" i="1"/>
  <c r="M32" i="1" s="1"/>
  <c r="I33" i="1"/>
  <c r="M33" i="1" s="1"/>
  <c r="I34" i="1"/>
  <c r="M34" i="1" s="1"/>
  <c r="I20" i="1"/>
  <c r="M20" i="1" s="1"/>
  <c r="L2" i="1"/>
  <c r="J32" i="3" l="1"/>
  <c r="J33" i="3"/>
  <c r="J34" i="3"/>
  <c r="J31" i="3"/>
  <c r="J24" i="3"/>
  <c r="J25" i="3"/>
  <c r="J26" i="3"/>
  <c r="J23" i="3"/>
  <c r="J9" i="3"/>
  <c r="J10" i="3"/>
  <c r="J11" i="3"/>
  <c r="J12" i="3"/>
  <c r="J13" i="3"/>
  <c r="J14" i="3"/>
  <c r="J8" i="3"/>
  <c r="AB35" i="3"/>
  <c r="AB15" i="3"/>
  <c r="AB2" i="3"/>
  <c r="AB27" i="3"/>
  <c r="Z201" i="3"/>
  <c r="W201" i="3"/>
  <c r="S201" i="3"/>
  <c r="AA35" i="3"/>
  <c r="Q15" i="3"/>
  <c r="AA27" i="3"/>
  <c r="AA15" i="3"/>
  <c r="Q27" i="3"/>
  <c r="AA2" i="3"/>
  <c r="Q2" i="3"/>
  <c r="J201" i="3" l="1"/>
  <c r="R201" i="3" l="1"/>
  <c r="N20" i="1" l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I8" i="1" l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3" i="1"/>
  <c r="M3" i="1" s="1"/>
  <c r="I4" i="1"/>
  <c r="M4" i="1" s="1"/>
  <c r="I5" i="1"/>
  <c r="M5" i="1" s="1"/>
  <c r="I6" i="1"/>
  <c r="M6" i="1" s="1"/>
  <c r="I7" i="1"/>
  <c r="M7" i="1" s="1"/>
  <c r="I2" i="1"/>
  <c r="M2" i="1" s="1"/>
  <c r="N5" i="1" l="1"/>
  <c r="O5" i="1" s="1"/>
  <c r="N10" i="1"/>
  <c r="O10" i="1" s="1"/>
  <c r="N6" i="1"/>
  <c r="O6" i="1" s="1"/>
  <c r="N9" i="1"/>
  <c r="O9" i="1" s="1"/>
  <c r="N11" i="1"/>
  <c r="O11" i="1" s="1"/>
  <c r="N3" i="1"/>
  <c r="O3" i="1" s="1"/>
  <c r="N8" i="1"/>
  <c r="O8" i="1" s="1"/>
  <c r="N19" i="1"/>
  <c r="O19" i="1" s="1"/>
  <c r="N17" i="1"/>
  <c r="O17" i="1" s="1"/>
  <c r="N18" i="1"/>
  <c r="O18" i="1" s="1"/>
  <c r="N16" i="1"/>
  <c r="O16" i="1" s="1"/>
  <c r="N12" i="1"/>
  <c r="O12" i="1" s="1"/>
  <c r="N15" i="1"/>
  <c r="O15" i="1" s="1"/>
  <c r="N7" i="1"/>
  <c r="O7" i="1" s="1"/>
  <c r="N4" i="1"/>
  <c r="O4" i="1" s="1"/>
  <c r="N14" i="1"/>
  <c r="O14" i="1" s="1"/>
  <c r="N2" i="1"/>
  <c r="O2" i="1" s="1"/>
  <c r="N13" i="1"/>
  <c r="O13" i="1" s="1"/>
  <c r="U164" i="3" l="1"/>
  <c r="U165" i="3"/>
  <c r="U166" i="3"/>
  <c r="U163" i="3"/>
  <c r="U201" i="3"/>
  <c r="U204" i="3" s="1"/>
</calcChain>
</file>

<file path=xl/sharedStrings.xml><?xml version="1.0" encoding="utf-8"?>
<sst xmlns="http://schemas.openxmlformats.org/spreadsheetml/2006/main" count="1036" uniqueCount="191">
  <si>
    <t>Hass</t>
  </si>
  <si>
    <t>Empresa</t>
  </si>
  <si>
    <t>Agricola Guili S.A.C</t>
  </si>
  <si>
    <t>Fundo</t>
  </si>
  <si>
    <t>Lote</t>
  </si>
  <si>
    <t>Ha</t>
  </si>
  <si>
    <t>Variedad</t>
  </si>
  <si>
    <t>Color</t>
  </si>
  <si>
    <t>% Merma</t>
  </si>
  <si>
    <t>Status</t>
  </si>
  <si>
    <t>Estatus</t>
  </si>
  <si>
    <t xml:space="preserve">Color </t>
  </si>
  <si>
    <t>Negra</t>
  </si>
  <si>
    <t>MH-12</t>
  </si>
  <si>
    <t>CLIENTE</t>
  </si>
  <si>
    <t>El Marsano</t>
  </si>
  <si>
    <t>MH-03</t>
  </si>
  <si>
    <t>MH-05</t>
  </si>
  <si>
    <t>MH-07</t>
  </si>
  <si>
    <t>MH-08</t>
  </si>
  <si>
    <t>CVH-01</t>
  </si>
  <si>
    <t>CVH-03</t>
  </si>
  <si>
    <t>CVH-02</t>
  </si>
  <si>
    <t>CVH-04</t>
  </si>
  <si>
    <t>CVH-05</t>
  </si>
  <si>
    <t>CVH-06</t>
  </si>
  <si>
    <t>CVH-10</t>
  </si>
  <si>
    <t>CVH-13</t>
  </si>
  <si>
    <t>CVH-14</t>
  </si>
  <si>
    <t>CVH-15</t>
  </si>
  <si>
    <t xml:space="preserve">N° Reporte de Producción </t>
  </si>
  <si>
    <t>N° Guia de Remisión</t>
  </si>
  <si>
    <t>BAIKA</t>
  </si>
  <si>
    <t>MH-10</t>
  </si>
  <si>
    <t>CVH-07</t>
  </si>
  <si>
    <t>CVH-08</t>
  </si>
  <si>
    <t>CVH-09</t>
  </si>
  <si>
    <t>CVH-11</t>
  </si>
  <si>
    <t>CVH-12</t>
  </si>
  <si>
    <t>CVH-16</t>
  </si>
  <si>
    <t>CVH-17</t>
  </si>
  <si>
    <t>CVH-18</t>
  </si>
  <si>
    <t>DNH-01</t>
  </si>
  <si>
    <t>DNH-02</t>
  </si>
  <si>
    <t>DNH-03</t>
  </si>
  <si>
    <t>DNH-04</t>
  </si>
  <si>
    <t>DNH-05</t>
  </si>
  <si>
    <t>DNH-06</t>
  </si>
  <si>
    <t>DNH-15</t>
  </si>
  <si>
    <t>DNH-16</t>
  </si>
  <si>
    <t>DNH-17</t>
  </si>
  <si>
    <t>Don Nico</t>
  </si>
  <si>
    <t>Cosechando</t>
  </si>
  <si>
    <t>Kg Brutos Lote</t>
  </si>
  <si>
    <t>Kg Brutos Ha</t>
  </si>
  <si>
    <t>Kg Exportable Ha</t>
  </si>
  <si>
    <t>Kg Exportado Ha</t>
  </si>
  <si>
    <t>Kg Exportable Lote</t>
  </si>
  <si>
    <t>Kg Bruto Lote</t>
  </si>
  <si>
    <t>Kg Bruto Ha</t>
  </si>
  <si>
    <t>Area</t>
  </si>
  <si>
    <t>Fecha de Siembra</t>
  </si>
  <si>
    <t>Plantas por Ha</t>
  </si>
  <si>
    <t>Plantas por Lote</t>
  </si>
  <si>
    <t>Frutos por Planta</t>
  </si>
  <si>
    <t>Peso Promedio Fruto</t>
  </si>
  <si>
    <t>Mes</t>
  </si>
  <si>
    <t>Fecha</t>
  </si>
  <si>
    <t>Peso Promedio Jaba (Kg)</t>
  </si>
  <si>
    <t>% Descarte</t>
  </si>
  <si>
    <t>0001-0002239</t>
  </si>
  <si>
    <t>0001-0002240</t>
  </si>
  <si>
    <t>AGRICOLA GUILI</t>
  </si>
  <si>
    <t>T008 N° 0000110</t>
  </si>
  <si>
    <t>T008 N° 0000111</t>
  </si>
  <si>
    <t>T008 N° 0000112</t>
  </si>
  <si>
    <t>Calibre</t>
  </si>
  <si>
    <t>Kg Calibre</t>
  </si>
  <si>
    <t>% Calibre</t>
  </si>
  <si>
    <t>Kg Exportados</t>
  </si>
  <si>
    <t xml:space="preserve">Kg Descarte </t>
  </si>
  <si>
    <t>% Exportado</t>
  </si>
  <si>
    <t xml:space="preserve">Kg Merma </t>
  </si>
  <si>
    <t>Kg Descarte de Campo</t>
  </si>
  <si>
    <t>Ingreso Packing (Kg Bruto)</t>
  </si>
  <si>
    <t>Cajas  Exportadas (10 Kg)</t>
  </si>
  <si>
    <t>Total Jabas</t>
  </si>
  <si>
    <t>Semana</t>
  </si>
  <si>
    <t>Columnas</t>
  </si>
  <si>
    <t>Tipo de Dato</t>
  </si>
  <si>
    <t>Cadena de Texto</t>
  </si>
  <si>
    <t>Valor Porcentual</t>
  </si>
  <si>
    <t>Busqueda (BuscarV)</t>
  </si>
  <si>
    <t>Fecha (Nun.de.Semana)</t>
  </si>
  <si>
    <t>Texto (Ref;" ")</t>
  </si>
  <si>
    <t xml:space="preserve">Sin Relacion </t>
  </si>
  <si>
    <t>Valor Numérico</t>
  </si>
  <si>
    <t>Matemática (Suma)</t>
  </si>
  <si>
    <t>Reporte de Producción</t>
  </si>
  <si>
    <t>N° Guía de Remisión</t>
  </si>
  <si>
    <t>Tipo de Fórmula</t>
  </si>
  <si>
    <t>Sin Fórmula</t>
  </si>
  <si>
    <t>Matemática (Multiplicación)</t>
  </si>
  <si>
    <t>Fecha - Guía de Remisión</t>
  </si>
  <si>
    <t>Guía de Remisión - Reporte de Producción</t>
  </si>
  <si>
    <t>Guía de Remisión</t>
  </si>
  <si>
    <t>Tabla Proyección</t>
  </si>
  <si>
    <t>Matemática (División)</t>
  </si>
  <si>
    <t>Cliente</t>
  </si>
  <si>
    <t>Relacion - Origen</t>
  </si>
  <si>
    <t>Kg Exportado Lote</t>
  </si>
  <si>
    <t>T008 N° 0000113</t>
  </si>
  <si>
    <t>0001-0002243</t>
  </si>
  <si>
    <t>0001-0002247</t>
  </si>
  <si>
    <t>T008 N° 0000119</t>
  </si>
  <si>
    <t>T008 N° 0000121</t>
  </si>
  <si>
    <t>0001-0002248</t>
  </si>
  <si>
    <t>T008 N° 0000125</t>
  </si>
  <si>
    <t>0001-0002251</t>
  </si>
  <si>
    <t>0001-0002250</t>
  </si>
  <si>
    <t>INT</t>
  </si>
  <si>
    <t>OBJECT</t>
  </si>
  <si>
    <t>FLOAT</t>
  </si>
  <si>
    <t>DATE</t>
  </si>
  <si>
    <t>CATEGORY</t>
  </si>
  <si>
    <t>Empty</t>
  </si>
  <si>
    <t>Set</t>
  </si>
  <si>
    <t>Dictionay</t>
  </si>
  <si>
    <t>Valores Cualitativos</t>
  </si>
  <si>
    <t>Valores Nulos</t>
  </si>
  <si>
    <t>Elementos Unicos</t>
  </si>
  <si>
    <t>Numero con Decimales</t>
  </si>
  <si>
    <t>Numero Entero</t>
  </si>
  <si>
    <t>Tupla</t>
  </si>
  <si>
    <t>Array</t>
  </si>
  <si>
    <t>Datos Inmutables</t>
  </si>
  <si>
    <t>Datos Manipulables</t>
  </si>
  <si>
    <t>Booleano</t>
  </si>
  <si>
    <t>Verdadero o Falso</t>
  </si>
  <si>
    <t>Datos Clave Valor</t>
  </si>
  <si>
    <t>EMPTY</t>
  </si>
  <si>
    <t>SET</t>
  </si>
  <si>
    <t>DICTIONAY</t>
  </si>
  <si>
    <t>TUPLA</t>
  </si>
  <si>
    <t>ARRAY</t>
  </si>
  <si>
    <t>BOOLEANO</t>
  </si>
  <si>
    <t>Número Entero</t>
  </si>
  <si>
    <t>Número con Decimales</t>
  </si>
  <si>
    <t>T008 N° 0000109</t>
  </si>
  <si>
    <t>T008 N° 0000115</t>
  </si>
  <si>
    <t>T008 N° 0000126</t>
  </si>
  <si>
    <t>0001-0002253</t>
  </si>
  <si>
    <t>0001-0002254</t>
  </si>
  <si>
    <t>10-20</t>
  </si>
  <si>
    <t>16</t>
  </si>
  <si>
    <t>18</t>
  </si>
  <si>
    <t>T008 N° 0000127</t>
  </si>
  <si>
    <t>0001-0002258</t>
  </si>
  <si>
    <t>T008 N° 0000128</t>
  </si>
  <si>
    <t>22-24</t>
  </si>
  <si>
    <t>26-30</t>
  </si>
  <si>
    <t>0001-0002257</t>
  </si>
  <si>
    <t>10</t>
  </si>
  <si>
    <t>12</t>
  </si>
  <si>
    <t>14</t>
  </si>
  <si>
    <t>20</t>
  </si>
  <si>
    <t>22</t>
  </si>
  <si>
    <t>24</t>
  </si>
  <si>
    <t>26</t>
  </si>
  <si>
    <t>28</t>
  </si>
  <si>
    <t>30</t>
  </si>
  <si>
    <t>32</t>
  </si>
  <si>
    <t>T008 N° 0000131</t>
  </si>
  <si>
    <t>0001-0002262</t>
  </si>
  <si>
    <t>T008 N° 0000132</t>
  </si>
  <si>
    <t>T008 N° 0000133</t>
  </si>
  <si>
    <t>0001-0002265</t>
  </si>
  <si>
    <t>0001-0002266</t>
  </si>
  <si>
    <t>T008 N° 0000134</t>
  </si>
  <si>
    <t>Cuatro Vientos</t>
  </si>
  <si>
    <t>08</t>
  </si>
  <si>
    <t>T008 N° 0000137</t>
  </si>
  <si>
    <t>0001-0002268</t>
  </si>
  <si>
    <t>T008 N° 0000138</t>
  </si>
  <si>
    <t>0001-0002270</t>
  </si>
  <si>
    <t>T008 N° 0000140</t>
  </si>
  <si>
    <t>0001-0002275</t>
  </si>
  <si>
    <t>T008 N° 0000142</t>
  </si>
  <si>
    <t>0001-0002274</t>
  </si>
  <si>
    <t>T008 N° 0000141</t>
  </si>
  <si>
    <t>KgCalibre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</si>
</sst>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0.0"/>
    <numFmt numFmtId="165" formatCode="#,##0.0"/>
    <numFmt numFmtId="166" formatCode="0.000%"/>
    <numFmt numFmtId="167" formatCode="_-* #,##0.0_-;\-* #,##0.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u val="singleAccounting"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1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6" fillId="0" borderId="0" xfId="1" applyNumberFormat="1" applyFont="1" applyAlignment="1">
      <alignment horizontal="center" vertical="center"/>
    </xf>
    <xf numFmtId="4" fontId="6" fillId="0" borderId="0" xfId="0" applyNumberFormat="1" applyFont="1" applyAlignment="1">
      <alignment vertical="center"/>
    </xf>
    <xf numFmtId="4" fontId="0" fillId="0" borderId="0" xfId="0" applyNumberFormat="1"/>
    <xf numFmtId="0" fontId="7" fillId="10" borderId="0" xfId="0" applyFont="1" applyFill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43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43" fontId="6" fillId="6" borderId="1" xfId="0" applyNumberFormat="1" applyFont="1" applyFill="1" applyBorder="1" applyAlignment="1">
      <alignment horizontal="center" vertical="center"/>
    </xf>
    <xf numFmtId="165" fontId="3" fillId="3" borderId="4" xfId="0" applyNumberFormat="1" applyFont="1" applyFill="1" applyBorder="1" applyAlignment="1">
      <alignment horizontal="center" vertical="center" wrapText="1"/>
    </xf>
    <xf numFmtId="165" fontId="12" fillId="3" borderId="5" xfId="0" applyNumberFormat="1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9" borderId="2" xfId="0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/>
    </xf>
    <xf numFmtId="0" fontId="2" fillId="0" borderId="0" xfId="0" applyFont="1"/>
    <xf numFmtId="0" fontId="2" fillId="11" borderId="1" xfId="0" applyFont="1" applyFill="1" applyBorder="1" applyAlignment="1">
      <alignment horizontal="center"/>
    </xf>
    <xf numFmtId="2" fontId="2" fillId="11" borderId="1" xfId="0" applyNumberFormat="1" applyFont="1" applyFill="1" applyBorder="1" applyAlignment="1">
      <alignment horizontal="center" vertical="center"/>
    </xf>
    <xf numFmtId="164" fontId="2" fillId="11" borderId="1" xfId="0" applyNumberFormat="1" applyFont="1" applyFill="1" applyBorder="1" applyAlignment="1">
      <alignment horizontal="center"/>
    </xf>
    <xf numFmtId="15" fontId="2" fillId="11" borderId="1" xfId="0" applyNumberFormat="1" applyFont="1" applyFill="1" applyBorder="1" applyAlignment="1">
      <alignment horizontal="center"/>
    </xf>
    <xf numFmtId="1" fontId="2" fillId="11" borderId="1" xfId="0" applyNumberFormat="1" applyFont="1" applyFill="1" applyBorder="1" applyAlignment="1">
      <alignment horizontal="center"/>
    </xf>
    <xf numFmtId="4" fontId="2" fillId="11" borderId="1" xfId="0" applyNumberFormat="1" applyFont="1" applyFill="1" applyBorder="1" applyAlignment="1">
      <alignment horizontal="center"/>
    </xf>
    <xf numFmtId="4" fontId="7" fillId="0" borderId="0" xfId="0" applyNumberFormat="1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15" fontId="3" fillId="3" borderId="4" xfId="0" applyNumberFormat="1" applyFont="1" applyFill="1" applyBorder="1" applyAlignment="1">
      <alignment horizontal="center" vertical="center" wrapText="1"/>
    </xf>
    <xf numFmtId="1" fontId="3" fillId="3" borderId="4" xfId="0" applyNumberFormat="1" applyFont="1" applyFill="1" applyBorder="1" applyAlignment="1">
      <alignment horizontal="center" vertical="center" wrapText="1"/>
    </xf>
    <xf numFmtId="4" fontId="4" fillId="4" borderId="4" xfId="0" applyNumberFormat="1" applyFont="1" applyFill="1" applyBorder="1" applyAlignment="1">
      <alignment horizontal="center" vertical="center" wrapText="1"/>
    </xf>
    <xf numFmtId="4" fontId="3" fillId="3" borderId="4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 wrapText="1"/>
    </xf>
    <xf numFmtId="3" fontId="5" fillId="2" borderId="7" xfId="0" applyNumberFormat="1" applyFont="1" applyFill="1" applyBorder="1" applyAlignment="1">
      <alignment horizontal="center" vertical="center"/>
    </xf>
    <xf numFmtId="4" fontId="5" fillId="5" borderId="7" xfId="0" applyNumberFormat="1" applyFont="1" applyFill="1" applyBorder="1" applyAlignment="1">
      <alignment horizontal="center" vertical="center"/>
    </xf>
    <xf numFmtId="4" fontId="7" fillId="4" borderId="7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0" fontId="3" fillId="3" borderId="4" xfId="1" applyNumberFormat="1" applyFont="1" applyFill="1" applyBorder="1" applyAlignment="1">
      <alignment horizontal="center" vertical="center" wrapText="1"/>
    </xf>
    <xf numFmtId="10" fontId="6" fillId="6" borderId="1" xfId="1" applyNumberFormat="1" applyFont="1" applyFill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43" fontId="6" fillId="6" borderId="3" xfId="0" applyNumberFormat="1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14" fontId="7" fillId="7" borderId="11" xfId="0" applyNumberFormat="1" applyFont="1" applyFill="1" applyBorder="1" applyAlignment="1">
      <alignment horizontal="center" vertical="center"/>
    </xf>
    <xf numFmtId="14" fontId="7" fillId="7" borderId="12" xfId="0" applyNumberFormat="1" applyFont="1" applyFill="1" applyBorder="1" applyAlignment="1">
      <alignment horizontal="center" vertical="center"/>
    </xf>
    <xf numFmtId="2" fontId="6" fillId="6" borderId="3" xfId="0" applyNumberFormat="1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43" fontId="6" fillId="6" borderId="6" xfId="1" applyNumberFormat="1" applyFont="1" applyFill="1" applyBorder="1" applyAlignment="1">
      <alignment horizontal="center" vertical="center"/>
    </xf>
    <xf numFmtId="43" fontId="6" fillId="6" borderId="14" xfId="1" applyNumberFormat="1" applyFont="1" applyFill="1" applyBorder="1" applyAlignment="1">
      <alignment horizontal="center" vertical="center"/>
    </xf>
    <xf numFmtId="43" fontId="6" fillId="6" borderId="14" xfId="0" applyNumberFormat="1" applyFont="1" applyFill="1" applyBorder="1" applyAlignment="1">
      <alignment horizontal="center" vertical="center"/>
    </xf>
    <xf numFmtId="4" fontId="11" fillId="8" borderId="3" xfId="0" applyNumberFormat="1" applyFont="1" applyFill="1" applyBorder="1" applyAlignment="1">
      <alignment horizontal="center" vertical="center"/>
    </xf>
    <xf numFmtId="10" fontId="7" fillId="7" borderId="11" xfId="0" applyNumberFormat="1" applyFont="1" applyFill="1" applyBorder="1" applyAlignment="1">
      <alignment horizontal="center" vertical="center"/>
    </xf>
    <xf numFmtId="10" fontId="7" fillId="7" borderId="12" xfId="0" applyNumberFormat="1" applyFont="1" applyFill="1" applyBorder="1" applyAlignment="1">
      <alignment horizontal="center" vertical="center"/>
    </xf>
    <xf numFmtId="43" fontId="7" fillId="7" borderId="11" xfId="0" applyNumberFormat="1" applyFont="1" applyFill="1" applyBorder="1" applyAlignment="1">
      <alignment horizontal="center" vertical="center"/>
    </xf>
    <xf numFmtId="43" fontId="7" fillId="7" borderId="12" xfId="0" applyNumberFormat="1" applyFont="1" applyFill="1" applyBorder="1" applyAlignment="1">
      <alignment horizontal="center" vertical="center"/>
    </xf>
    <xf numFmtId="165" fontId="6" fillId="6" borderId="3" xfId="0" applyNumberFormat="1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165" fontId="6" fillId="6" borderId="16" xfId="0" applyNumberFormat="1" applyFont="1" applyFill="1" applyBorder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43" fontId="6" fillId="6" borderId="17" xfId="0" applyNumberFormat="1" applyFont="1" applyFill="1" applyBorder="1" applyAlignment="1">
      <alignment horizontal="center" vertical="center"/>
    </xf>
    <xf numFmtId="43" fontId="6" fillId="6" borderId="18" xfId="0" applyNumberFormat="1" applyFont="1" applyFill="1" applyBorder="1" applyAlignment="1">
      <alignment horizontal="center" vertical="center"/>
    </xf>
    <xf numFmtId="0" fontId="15" fillId="3" borderId="19" xfId="0" applyFont="1" applyFill="1" applyBorder="1" applyAlignment="1">
      <alignment horizontal="center" vertical="center" wrapText="1"/>
    </xf>
    <xf numFmtId="0" fontId="15" fillId="3" borderId="20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5" fillId="3" borderId="21" xfId="0" applyFont="1" applyFill="1" applyBorder="1" applyAlignment="1">
      <alignment horizontal="center" vertical="center" wrapText="1"/>
    </xf>
    <xf numFmtId="10" fontId="5" fillId="3" borderId="21" xfId="1" applyNumberFormat="1" applyFont="1" applyFill="1" applyBorder="1" applyAlignment="1">
      <alignment horizontal="center" vertical="center" wrapText="1"/>
    </xf>
    <xf numFmtId="4" fontId="5" fillId="3" borderId="21" xfId="0" applyNumberFormat="1" applyFont="1" applyFill="1" applyBorder="1" applyAlignment="1">
      <alignment horizontal="center" vertical="center" wrapText="1"/>
    </xf>
    <xf numFmtId="165" fontId="5" fillId="3" borderId="21" xfId="0" applyNumberFormat="1" applyFont="1" applyFill="1" applyBorder="1" applyAlignment="1">
      <alignment horizontal="center" vertical="center" wrapText="1"/>
    </xf>
    <xf numFmtId="165" fontId="5" fillId="3" borderId="22" xfId="0" applyNumberFormat="1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14" fontId="7" fillId="7" borderId="15" xfId="0" applyNumberFormat="1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43" fontId="7" fillId="7" borderId="15" xfId="0" applyNumberFormat="1" applyFont="1" applyFill="1" applyBorder="1" applyAlignment="1">
      <alignment horizontal="center" vertical="center"/>
    </xf>
    <xf numFmtId="10" fontId="7" fillId="7" borderId="15" xfId="0" applyNumberFormat="1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/>
    </xf>
    <xf numFmtId="0" fontId="5" fillId="3" borderId="26" xfId="0" applyFont="1" applyFill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43" fontId="7" fillId="7" borderId="27" xfId="0" applyNumberFormat="1" applyFont="1" applyFill="1" applyBorder="1" applyAlignment="1">
      <alignment horizontal="center" vertical="center"/>
    </xf>
    <xf numFmtId="10" fontId="7" fillId="7" borderId="27" xfId="0" applyNumberFormat="1" applyFont="1" applyFill="1" applyBorder="1" applyAlignment="1">
      <alignment horizontal="center" vertical="center"/>
    </xf>
    <xf numFmtId="11" fontId="6" fillId="6" borderId="1" xfId="1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3" fontId="16" fillId="6" borderId="1" xfId="0" applyNumberFormat="1" applyFont="1" applyFill="1" applyBorder="1" applyAlignment="1">
      <alignment horizontal="center" vertical="center"/>
    </xf>
    <xf numFmtId="4" fontId="5" fillId="5" borderId="0" xfId="0" applyNumberFormat="1" applyFont="1" applyFill="1" applyAlignment="1">
      <alignment horizontal="center" vertical="center"/>
    </xf>
  </cellXfs>
  <cellStyles count="16">
    <cellStyle name="Normal" xfId="0" builtinId="0"/>
    <cellStyle name="Normal 138" xfId="5" xr:uid="{EAD0E9A9-3210-48D9-B349-F1A019145390}"/>
    <cellStyle name="Normal 161" xfId="3" xr:uid="{8BA1295D-C821-4C3D-94C3-090B2E471AD0}"/>
    <cellStyle name="Normal 2" xfId="2" xr:uid="{434EFE43-6578-46F5-A535-BFCC002008E4}"/>
    <cellStyle name="Normal 218" xfId="7" xr:uid="{A15FB9B8-36BB-4E14-96C3-43BC288AB55E}"/>
    <cellStyle name="Normal 219" xfId="8" xr:uid="{6F569D26-BBA6-4353-A3B6-EFC4F44835E0}"/>
    <cellStyle name="Normal 220" xfId="9" xr:uid="{F729A2D8-5B69-4A67-AA90-8FF547DDC571}"/>
    <cellStyle name="Normal 221" xfId="10" xr:uid="{890EBECB-D744-4616-9523-929B297D2F17}"/>
    <cellStyle name="Normal 223" xfId="11" xr:uid="{BEC7019B-FAA5-4239-B486-E20118859760}"/>
    <cellStyle name="Normal 224" xfId="12" xr:uid="{04C74F04-CB8F-41E9-8DEC-35136D13BF38}"/>
    <cellStyle name="Normal 226" xfId="13" xr:uid="{992E5129-C9DC-4705-BF10-01865FD254C4}"/>
    <cellStyle name="Normal 227" xfId="14" xr:uid="{4CA1F790-D59B-408A-9A52-E5FBA794006D}"/>
    <cellStyle name="Normal 304" xfId="15" xr:uid="{02546AA6-7809-4DF4-9061-09F2190F4EC3}"/>
    <cellStyle name="Normal 33" xfId="6" xr:uid="{65FD8DCF-29D2-490A-8846-F8CC31B30184}"/>
    <cellStyle name="Normal 34" xfId="4" xr:uid="{1A0912D7-AC72-41B3-BC3E-18EE1113BFD0}"/>
    <cellStyle name="Porcentaje" xfId="1" builtinId="5"/>
  </cellStyles>
  <dxfs count="152">
    <dxf>
      <font>
        <strike/>
        <u val="none"/>
        <color rgb="FFFF0000"/>
      </font>
    </dxf>
    <dxf>
      <font>
        <strike/>
        <color rgb="FFFF0000"/>
      </font>
    </dxf>
    <dxf>
      <font>
        <strike/>
        <u val="none"/>
        <color rgb="FFFF0000"/>
      </font>
    </dxf>
    <dxf>
      <font>
        <strike/>
        <u val="none"/>
        <color rgb="FFFF0000"/>
      </font>
    </dxf>
    <dxf>
      <numFmt numFmtId="4" formatCode="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4" formatCode="#,##0.00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4" formatCode="#,##0.00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dd\-mmm\-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8" formatCode="dd\-mmm\-yy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165" formatCode="#,##0.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/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/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4" formatCode="#,##0.00"/>
      <fill>
        <patternFill patternType="solid">
          <fgColor indexed="64"/>
          <bgColor rgb="FFFFFF9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scheme val="minor"/>
      </font>
      <numFmt numFmtId="14" formatCode="0.00%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/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9"/>
        <name val="Calibri"/>
        <scheme val="minor"/>
      </font>
      <numFmt numFmtId="14" formatCode="0.00%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9"/>
        <name val="Calibri"/>
        <scheme val="minor"/>
      </font>
      <numFmt numFmtId="14" formatCode="0.00%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4" formatCode="#,##0.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8" formatCode="dd\-mmm\-yy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scheme val="minor"/>
      </font>
      <numFmt numFmtId="169" formatCode="[$-F800]dddd\,\ mmmm\ dd\,\ yyyy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/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/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-0.499984740745262"/>
        </right>
        <top style="thin">
          <color theme="4" tint="-0.499984740745262"/>
        </top>
        <bottom/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/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/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/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rgb="FFC00000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165" formatCode="#,##0.0"/>
    </dxf>
    <dxf>
      <border>
        <bottom style="thin">
          <color theme="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00"/>
        <name val="Calibri"/>
        <scheme val="minor"/>
      </font>
      <numFmt numFmtId="165" formatCode="#,##0.0"/>
      <fill>
        <patternFill patternType="solid">
          <fgColor indexed="64"/>
          <bgColor theme="8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/>
        </left>
        <right style="thin">
          <color theme="3"/>
        </right>
        <top/>
        <bottom/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>
          <bgColor theme="8" tint="-0.499984740745262"/>
        </patternFill>
      </fill>
      <border>
        <bottom style="thin">
          <color theme="9" tint="-0.499984740745262"/>
        </bottom>
        <vertical/>
        <horizontal/>
      </border>
    </dxf>
    <dxf>
      <font>
        <color theme="1"/>
      </font>
      <border>
        <left style="thick">
          <color rgb="FF002060"/>
        </left>
        <right style="thick">
          <color rgb="FF002060"/>
        </right>
        <top style="thick">
          <color rgb="FF002060"/>
        </top>
        <bottom style="thick">
          <color rgb="FF002060"/>
        </bottom>
        <vertical/>
        <horizontal/>
      </border>
    </dxf>
    <dxf>
      <fill>
        <patternFill>
          <bgColor theme="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color theme="0"/>
      </font>
      <fill>
        <patternFill>
          <bgColor theme="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 patternType="solid">
          <fgColor theme="4" tint="0.59999389629810485"/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>
          <bgColor theme="9" tint="-0.2499465926084170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9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1"/>
      </font>
      <fill>
        <patternFill patternType="solid">
          <fgColor theme="1" tint="0.249977111117893"/>
          <bgColor rgb="FFEBF96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 patternType="solid">
          <fgColor theme="1" tint="0.249977111117893"/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rgb="FF002060"/>
      </font>
      <fill>
        <patternFill patternType="solid">
          <fgColor theme="4" tint="0.79979857783745845"/>
          <bgColor theme="7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color theme="0"/>
      </font>
      <fill>
        <patternFill>
          <bgColor theme="8" tint="-0.49998474074526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 patternType="solid">
          <fgColor theme="4" tint="0.59999389629810485"/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8" tint="-0.499984740745262"/>
        </patternFill>
      </fill>
    </dxf>
    <dxf>
      <font>
        <b/>
        <i val="0"/>
        <color theme="0"/>
      </font>
      <fill>
        <patternFill>
          <bgColor theme="8" tint="-0.499984740745262"/>
        </patternFill>
      </fill>
    </dxf>
    <dxf>
      <font>
        <b/>
        <i val="0"/>
        <color theme="1"/>
      </font>
      <fill>
        <patternFill patternType="solid">
          <fgColor theme="1" tint="0.249977111117893"/>
          <bgColor rgb="FFEBF96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 patternType="solid">
          <fgColor theme="1" tint="0.249977111117893"/>
          <bgColor theme="8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rgb="FF002060"/>
      </font>
      <fill>
        <patternFill patternType="solid">
          <fgColor theme="4" tint="0.79985961485641044"/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color theme="0"/>
      </font>
      <fill>
        <patternFill>
          <bgColor theme="8" tint="-0.49998474074526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 patternType="solid">
          <fgColor theme="4" tint="0.59999389629810485"/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1"/>
      </font>
      <fill>
        <patternFill patternType="solid">
          <fgColor theme="1" tint="0.249977111117893"/>
          <bgColor rgb="FFEBF96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 patternType="solid">
          <fgColor theme="1" tint="0.249977111117893"/>
          <bgColor theme="8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rgb="FF002060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font>
        <color theme="0"/>
      </font>
      <fill>
        <patternFill>
          <bgColor theme="8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8" tint="-0.24994659260841701"/>
        </patternFill>
      </fill>
      <border>
        <vertical/>
        <horizontal/>
      </border>
    </dxf>
    <dxf>
      <font>
        <b/>
        <i val="0"/>
        <color theme="0"/>
      </font>
      <fill>
        <patternFill patternType="solid">
          <fgColor theme="4" tint="0.59999389629810485"/>
          <bgColor theme="8" tint="-0.24994659260841701"/>
        </patternFill>
      </fill>
      <border>
        <bottom style="medium">
          <color theme="4" tint="0.79998168889431442"/>
        </bottom>
        <vertical/>
        <horizontal/>
      </border>
    </dxf>
    <dxf>
      <border>
        <top style="medium">
          <color theme="4" tint="0.79998168889431442"/>
        </top>
      </border>
    </dxf>
    <dxf>
      <border>
        <top style="medium">
          <color theme="4" tint="0.79998168889431442"/>
        </top>
      </border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</dxf>
    <dxf>
      <border>
        <left style="thin">
          <color theme="4" tint="0.39997558519241921"/>
        </left>
        <right style="thin">
          <color theme="4" tint="0.39997558519241921"/>
        </right>
      </border>
    </dxf>
    <dxf>
      <border>
        <left style="thin">
          <color theme="4" tint="0.39997558519241921"/>
        </left>
        <right style="thin">
          <color theme="4" tint="0.39997558519241921"/>
        </right>
      </border>
    </dxf>
    <dxf>
      <border>
        <top style="thin">
          <color theme="4" tint="0.59999389629810485"/>
        </top>
        <bottom style="thin">
          <color theme="4" tint="0.59999389629810485"/>
        </bottom>
      </border>
    </dxf>
    <dxf>
      <font>
        <b/>
        <i val="0"/>
        <color theme="1"/>
      </font>
      <fill>
        <patternFill patternType="solid">
          <fgColor theme="1" tint="0.249977111117893"/>
          <bgColor rgb="FFEBF963"/>
        </patternFill>
      </fill>
    </dxf>
    <dxf>
      <font>
        <b/>
        <i val="0"/>
        <color theme="0"/>
      </font>
      <fill>
        <patternFill patternType="solid">
          <fgColor theme="1" tint="0.249977111117893"/>
          <bgColor theme="8" tint="-0.499984740745262"/>
        </patternFill>
      </fill>
    </dxf>
    <dxf>
      <font>
        <b/>
        <i val="0"/>
        <color rgb="FF002060"/>
      </font>
      <fill>
        <patternFill patternType="solid">
          <fgColor theme="4" tint="0.79998168889431442"/>
          <bgColor theme="4" tint="0.79998168889431442"/>
        </patternFill>
      </fill>
      <border>
        <left style="medium">
          <color theme="8" tint="-0.499984740745262"/>
        </left>
        <right style="thin">
          <color theme="8" tint="-0.499984740745262"/>
        </right>
        <top style="medium">
          <color theme="8" tint="-0.499984740745262"/>
        </top>
        <bottom/>
        <vertical style="thin">
          <color theme="0"/>
        </vertical>
        <horizontal style="hair">
          <color theme="0"/>
        </horizontal>
      </border>
    </dxf>
    <dxf>
      <fill>
        <patternFill patternType="lightGray"/>
      </fill>
    </dxf>
    <dxf>
      <fill>
        <patternFill>
          <fgColor theme="3"/>
          <bgColor theme="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theme="0"/>
        </patternFill>
      </fill>
    </dxf>
  </dxfs>
  <tableStyles count="10" defaultTableStyle="TableStyleMedium2" defaultPivotStyle="PivotStyleLight16">
    <tableStyle name="Estilo de segmentación de datos 1" pivot="0" table="0" count="1" xr9:uid="{9FB74955-9FF2-43F7-9CD7-202680F4742D}">
      <tableStyleElement type="wholeTable" dxfId="151"/>
    </tableStyle>
    <tableStyle name="Estilo de segmentación de datos 2" pivot="0" table="0" count="1" xr9:uid="{19CEBD6E-4103-4D32-87D8-CDB74270E639}">
      <tableStyleElement type="wholeTable" dxfId="150"/>
    </tableStyle>
    <tableStyle name="Estilo de segmentación de datos 3" pivot="0" table="0" count="1" xr9:uid="{83EE7322-612A-481A-94A1-0A82228CC4B4}">
      <tableStyleElement type="wholeTable" dxfId="149"/>
    </tableStyle>
    <tableStyle name="Estilo de segmentación de datos 4" pivot="0" table="0" count="1" xr9:uid="{061631A8-7081-4DD9-B9F6-9CEF7A041BDD}">
      <tableStyleElement type="wholeTable" dxfId="148"/>
    </tableStyle>
    <tableStyle name="Invisible" pivot="0" table="0" count="0" xr9:uid="{5E9F3C86-3F33-434D-8B95-71ADE7338F8F}"/>
    <tableStyle name="PivotStyleDark9 2" table="0" count="13" xr9:uid="{57254AC2-4DE0-48AD-A59D-435ED69EDF14}">
      <tableStyleElement type="wholeTable" dxfId="147"/>
      <tableStyleElement type="headerRow" dxfId="146"/>
      <tableStyleElement type="totalRow" dxfId="145"/>
      <tableStyleElement type="secondRowStripe" dxfId="144"/>
      <tableStyleElement type="firstColumnStripe" dxfId="143"/>
      <tableStyleElement type="secondColumnStripe" dxfId="142"/>
      <tableStyleElement type="firstSubtotalRow" dxfId="141"/>
      <tableStyleElement type="secondColumnSubheading" dxfId="140"/>
      <tableStyleElement type="thirdColumnSubheading" dxfId="139"/>
      <tableStyleElement type="firstRowSubheading" dxfId="138"/>
      <tableStyleElement type="secondRowSubheading" dxfId="137"/>
      <tableStyleElement type="pageFieldLabels" dxfId="136"/>
      <tableStyleElement type="pageFieldValues" dxfId="135"/>
    </tableStyle>
    <tableStyle name="PivotStyleDark9 2 2" table="0" count="13" xr9:uid="{D43AE1D3-E573-4811-979E-F06ABCB8A855}">
      <tableStyleElement type="wholeTable" dxfId="134"/>
      <tableStyleElement type="headerRow" dxfId="133"/>
      <tableStyleElement type="totalRow" dxfId="132"/>
      <tableStyleElement type="secondRowStripe" dxfId="131"/>
      <tableStyleElement type="firstColumnStripe" dxfId="130"/>
      <tableStyleElement type="secondColumnStripe" dxfId="129"/>
      <tableStyleElement type="firstSubtotalRow" dxfId="128"/>
      <tableStyleElement type="secondColumnSubheading" dxfId="127"/>
      <tableStyleElement type="thirdColumnSubheading" dxfId="126"/>
      <tableStyleElement type="firstRowSubheading" dxfId="125"/>
      <tableStyleElement type="secondRowSubheading" dxfId="124"/>
      <tableStyleElement type="pageFieldLabels" dxfId="123"/>
      <tableStyleElement type="pageFieldValues" dxfId="122"/>
    </tableStyle>
    <tableStyle name="PivotStyleDark9 2 2 2" table="0" count="15" xr9:uid="{6F62195E-F7A6-4D6D-94A0-1BB0F79BC09A}">
      <tableStyleElement type="wholeTable" dxfId="121"/>
      <tableStyleElement type="headerRow" dxfId="120"/>
      <tableStyleElement type="totalRow" dxfId="119"/>
      <tableStyleElement type="firstColumn" dxfId="118"/>
      <tableStyleElement type="firstRowStripe" dxfId="117"/>
      <tableStyleElement type="secondRowStripe" dxfId="116"/>
      <tableStyleElement type="firstColumnStripe" dxfId="115"/>
      <tableStyleElement type="secondColumnStripe" dxfId="114"/>
      <tableStyleElement type="firstSubtotalRow" dxfId="113"/>
      <tableStyleElement type="secondColumnSubheading" dxfId="112"/>
      <tableStyleElement type="thirdColumnSubheading" dxfId="111"/>
      <tableStyleElement type="firstRowSubheading" dxfId="110"/>
      <tableStyleElement type="secondRowSubheading" dxfId="109"/>
      <tableStyleElement type="pageFieldLabels" dxfId="108"/>
      <tableStyleElement type="pageFieldValues" dxfId="107"/>
    </tableStyle>
    <tableStyle name="PivotStyleDark9 2 2 2 2" table="0" count="15" xr9:uid="{5FF3C6EB-ABD7-47E3-A486-56EB68F608C0}">
      <tableStyleElement type="wholeTable" dxfId="106"/>
      <tableStyleElement type="headerRow" dxfId="105"/>
      <tableStyleElement type="totalRow" dxfId="104"/>
      <tableStyleElement type="firstColumn" dxfId="103"/>
      <tableStyleElement type="firstRowStripe" dxfId="102"/>
      <tableStyleElement type="secondRowStripe" dxfId="101"/>
      <tableStyleElement type="firstColumnStripe" dxfId="100"/>
      <tableStyleElement type="secondColumnStripe" dxfId="99"/>
      <tableStyleElement type="firstSubtotalRow" dxfId="98"/>
      <tableStyleElement type="secondColumnSubheading" dxfId="97"/>
      <tableStyleElement type="thirdColumnSubheading" dxfId="96"/>
      <tableStyleElement type="firstRowSubheading" dxfId="95"/>
      <tableStyleElement type="secondRowSubheading" dxfId="94"/>
      <tableStyleElement type="pageFieldLabels" dxfId="93"/>
      <tableStyleElement type="pageFieldValues" dxfId="92"/>
    </tableStyle>
    <tableStyle name="SlicerStyleDark1 2" pivot="0" table="0" count="10" xr9:uid="{85311D6E-B600-42BB-914F-3A50A8179DA5}">
      <tableStyleElement type="wholeTable" dxfId="91"/>
      <tableStyleElement type="headerRow" dxfId="90"/>
    </tableStyle>
  </tableStyles>
  <colors>
    <mruColors>
      <color rgb="FFFF0000"/>
      <color rgb="FF607696"/>
      <color rgb="FF54B08D"/>
      <color rgb="FF1E7692"/>
      <color rgb="FFC6E4D9"/>
      <color rgb="FFBF1350"/>
      <color rgb="FF8CCAB2"/>
      <color rgb="FF9ED2BE"/>
      <color rgb="FF526580"/>
      <color rgb="FF15653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4"/>
              <bgColor theme="9" tint="-0.499984740745262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Dark1 2">
        <x14:slicerStyle name="Estilo de segmentación de datos 1"/>
        <x14:slicerStyle name="Estilo de segmentación de datos 2"/>
        <x14:slicerStyle name="Estilo de segmentación de datos 3"/>
        <x14:slicerStyle name="Estilo de segmentación de datos 4"/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FCD48D-794B-4767-8C7D-A2F6B6891529}" name="REPORTE" displayName="REPORTE" ref="A1:AD200" totalsRowShown="0" headerRowDxfId="89" dataDxfId="87" headerRowBorderDxfId="88" tableBorderDxfId="86">
  <autoFilter ref="A1:AD200" xr:uid="{E76B314E-9401-44BB-9C33-D66AF66026F7}"/>
  <tableColumns count="30">
    <tableColumn id="1" xr3:uid="{4AF3DE51-EB2A-4E43-86B0-F6A6E6A88EC8}" name="Semana" dataDxfId="85" totalsRowDxfId="84">
      <calculatedColumnFormula>WEEKNUM(N2)</calculatedColumnFormula>
    </tableColumn>
    <tableColumn id="2" xr3:uid="{7664099E-F27F-4947-8D89-052396672F80}" name="Mes" dataDxfId="83" totalsRowDxfId="82">
      <calculatedColumnFormula>TEXT(REPORTE[[#This Row],[Fecha]],"MMMM")</calculatedColumnFormula>
    </tableColumn>
    <tableColumn id="3" xr3:uid="{059BB18A-902C-48A1-89D1-E3C177D6E0AE}" name="Fundo" dataDxfId="81" totalsRowDxfId="80">
      <calculatedColumnFormula>IFERROR(VLOOKUP(REPORTE[[#This Row],[Lote]],PROYECCION[],3,FALSE),"")</calculatedColumnFormula>
    </tableColumn>
    <tableColumn id="4" xr3:uid="{FC138D0A-7262-4C4D-896F-4DFD8200008C}" name="Empresa" dataDxfId="79">
      <calculatedColumnFormula>IFERROR(VLOOKUP(REPORTE[[#This Row],[Lote]],PROYECCION[],2,FALSE),"")</calculatedColumnFormula>
    </tableColumn>
    <tableColumn id="5" xr3:uid="{D091FDCB-5D72-4A78-8887-C189FB72C148}" name="Lote" dataDxfId="78" totalsRowDxfId="77"/>
    <tableColumn id="6" xr3:uid="{F784FD0F-9957-485C-9010-51C9F84940A9}" name="Ha" dataDxfId="76" totalsRowDxfId="75">
      <calculatedColumnFormula>IFERROR(VLOOKUP(REPORTE[[#This Row],[Lote]],PROYECCION[],5,FALSE),"")</calculatedColumnFormula>
    </tableColumn>
    <tableColumn id="7" xr3:uid="{409407AA-EEC0-4955-B270-DF71CAA026D8}" name="Variedad" dataDxfId="74" totalsRowDxfId="73">
      <calculatedColumnFormula>IFERROR(VLOOKUP(REPORTE[[#This Row],[Lote]],PROYECCION[],4,FALSE),"")</calculatedColumnFormula>
    </tableColumn>
    <tableColumn id="8" xr3:uid="{F72DEC49-EAE0-45A9-BA73-78EE0A75F2A1}" name="Color" dataDxfId="72" totalsRowDxfId="71">
      <calculatedColumnFormula>IFERROR(VLOOKUP(REPORTE[[#This Row],[Lote]],PROYECCION[],6,FALSE),"")</calculatedColumnFormula>
    </tableColumn>
    <tableColumn id="36" xr3:uid="{64FA8638-BAFF-4348-9E6E-E5A0788848D9}" name="Calibre" dataDxfId="70" totalsRowDxfId="69"/>
    <tableColumn id="35" xr3:uid="{8EBA2BD6-A457-4478-91B4-6E019D8D9EAF}" name="KgCalibre" dataDxfId="68">
      <calculatedColumnFormula>$S$2*REPORTE[[#This Row],[% Calibre]]</calculatedColumnFormula>
    </tableColumn>
    <tableColumn id="40" xr3:uid="{0C654BBF-393B-4C72-A5FB-8D9BAF9C2F84}" name="% Calibre" dataDxfId="67" totalsRowDxfId="66" dataCellStyle="Porcentaje"/>
    <tableColumn id="33" xr3:uid="{5BFEC504-90F9-48E3-B8EA-96CE72A2F066}" name="N° Guia de Remisión" dataDxfId="65" totalsRowDxfId="64"/>
    <tableColumn id="15" xr3:uid="{FB1F2EC5-2BED-41C7-87F0-7E492A4EFC91}" name="N° Reporte de Producción " dataDxfId="63"/>
    <tableColumn id="9" xr3:uid="{3A2A0E62-C5FA-4D2D-B05C-1BA42ED6486C}" name="Fecha" dataDxfId="62" totalsRowDxfId="61"/>
    <tableColumn id="10" xr3:uid="{9C7BFC80-E990-4145-B232-4E542755A71C}" name="Total Jabas" dataDxfId="60"/>
    <tableColumn id="12" xr3:uid="{20C0C498-DCD1-4CBC-9977-55013BAFC401}" name="Peso Promedio Jaba (Kg)" dataDxfId="59">
      <calculatedColumnFormula>IFERROR((+R2/O2),"")</calculatedColumnFormula>
    </tableColumn>
    <tableColumn id="17" xr3:uid="{105748FD-AC56-4AF5-8013-13B7A5E8FD75}" name="Cajas  Exportadas (10 Kg)" dataDxfId="58" dataCellStyle="Porcentaje">
      <calculatedColumnFormula>+S2/10</calculatedColumnFormula>
    </tableColumn>
    <tableColumn id="11" xr3:uid="{98C83631-309C-4AF7-AF3E-EFDC858159B3}" name="Ingreso Packing (Kg Bruto)" dataDxfId="57" totalsRowDxfId="56"/>
    <tableColumn id="14" xr3:uid="{3A1A3EC2-FD7E-4CDE-8CE1-FDB38ED9890A}" name="Kg Exportados" dataDxfId="55" dataCellStyle="Porcentaje">
      <calculatedColumnFormula>+R2*T2</calculatedColumnFormula>
    </tableColumn>
    <tableColumn id="13" xr3:uid="{29AAC8D1-B98B-45F9-B443-B90F2E42D01C}" name="% Exportado" dataDxfId="54" dataCellStyle="Porcentaje"/>
    <tableColumn id="18" xr3:uid="{DBE9888B-2429-4B0B-92D2-8244D56B30A4}" name="Kg Descarte " dataDxfId="53">
      <calculatedColumnFormula>R2*V2</calculatedColumnFormula>
    </tableColumn>
    <tableColumn id="19" xr3:uid="{95DBB7F1-20AB-4EA3-A4B5-09464F360B5D}" name="% Descarte" dataDxfId="52"/>
    <tableColumn id="20" xr3:uid="{5072B2D5-BE97-4997-A242-99BC02305184}" name="Kg Merma " dataDxfId="51" totalsRowDxfId="50" dataCellStyle="Porcentaje">
      <calculatedColumnFormula>R2*X2</calculatedColumnFormula>
    </tableColumn>
    <tableColumn id="21" xr3:uid="{4FF10C72-B569-41B9-80C2-B54038E9D984}" name="% Merma" dataDxfId="49" totalsRowDxfId="48"/>
    <tableColumn id="22" xr3:uid="{FBBB35AE-044F-4A3B-AF37-3660E644272F}" name="Kg Descarte de Campo" dataDxfId="47"/>
    <tableColumn id="24" xr3:uid="{F3EB780D-1C4D-421E-8A52-11B94A6C3164}" name="Kg Brutos Lote" dataDxfId="46" totalsRowDxfId="45">
      <calculatedColumnFormula>R2+Y2</calculatedColumnFormula>
    </tableColumn>
    <tableColumn id="25" xr3:uid="{0D7BC34C-758E-4E5A-BBC1-0CBEFC99A2F4}" name="Kg Brutos Ha" dataDxfId="44" totalsRowDxfId="43">
      <calculatedColumnFormula>IFERROR((Z2/F2),"")</calculatedColumnFormula>
    </tableColumn>
    <tableColumn id="16" xr3:uid="{D1D5AED3-54A0-4F33-A9A5-64BC115AF4E1}" name="Kg Exportado Ha" dataDxfId="42" totalsRowDxfId="41">
      <calculatedColumnFormula>IFERROR(REPORTE[[#This Row],[Kg Exportados]]/REPORTE[[#This Row],[Ha]],"")</calculatedColumnFormula>
    </tableColumn>
    <tableColumn id="30" xr3:uid="{6A8428C0-F065-497D-A1D1-EF69D1235931}" name="Status" dataDxfId="40" totalsRowDxfId="39">
      <calculatedColumnFormula>IFERROR(VLOOKUP(REPORTE[[#This Row],[Lote]],PROYECCION[],16,FALSE),"")</calculatedColumnFormula>
    </tableColumn>
    <tableColumn id="34" xr3:uid="{CB8F9656-9DE1-4291-84AE-2CC67E681DAB}" name="CLIENTE" dataDxfId="3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5BBF0D-090C-4051-9347-772BCE6405E3}" name="PROYECCION" displayName="PROYECCION" ref="A1:P34" totalsRowShown="0" headerRowDxfId="37" tableBorderDxfId="36">
  <autoFilter ref="A1:P34" xr:uid="{245BBF0D-090C-4051-9347-772BCE6405E3}"/>
  <sortState xmlns:xlrd2="http://schemas.microsoft.com/office/spreadsheetml/2017/richdata2" ref="A2:P34">
    <sortCondition ref="A1:A34"/>
  </sortState>
  <tableColumns count="16">
    <tableColumn id="1" xr3:uid="{4BEF3241-6DD9-49BD-93E2-1AC972C023F7}" name="Lote" dataDxfId="35" totalsRowDxfId="34"/>
    <tableColumn id="2" xr3:uid="{066B234B-8D0B-483D-8525-DBB9277BB955}" name="Empresa" dataDxfId="33" totalsRowDxfId="32"/>
    <tableColumn id="3" xr3:uid="{91169DEB-D4E6-4E5B-AE31-80CFF250AAA6}" name="Fundo" dataDxfId="31" totalsRowDxfId="30"/>
    <tableColumn id="4" xr3:uid="{A5992C2E-2A66-4543-B5B5-AE7DA1C72FDA}" name="Variedad" dataDxfId="29" totalsRowDxfId="28"/>
    <tableColumn id="5" xr3:uid="{02FC1FD6-A34E-4375-AD19-08C161C9A3CD}" name="Area" dataDxfId="27" totalsRowDxfId="26"/>
    <tableColumn id="16" xr3:uid="{C2B7D1C6-15A0-47E1-91E5-C447B470FEF8}" name="Color " dataDxfId="25" totalsRowDxfId="24"/>
    <tableColumn id="6" xr3:uid="{C81A87E6-EE69-41C4-A454-097C8428461F}" name="Fecha de Siembra" dataDxfId="23" totalsRowDxfId="22"/>
    <tableColumn id="7" xr3:uid="{059823A7-543E-4525-B60D-E3D974A205A9}" name="Plantas por Ha" dataDxfId="21" totalsRowDxfId="20"/>
    <tableColumn id="8" xr3:uid="{24F32509-6350-4156-93CF-A7B54FCEDEDD}" name="Plantas por Lote" dataDxfId="19" totalsRowDxfId="18"/>
    <tableColumn id="9" xr3:uid="{3DF128C5-D66A-42D0-A9EC-2B3611D08D32}" name="Frutos por Planta" dataDxfId="17" totalsRowDxfId="16"/>
    <tableColumn id="10" xr3:uid="{8EB6BB88-2B09-45BA-B2D3-548E75A4DF82}" name="Peso Promedio Fruto" dataDxfId="15" totalsRowDxfId="14"/>
    <tableColumn id="11" xr3:uid="{3E7A756B-D33F-4360-9CDF-801E47662F59}" name="Kg Bruto Ha" dataDxfId="13" totalsRowDxfId="12">
      <calculatedColumnFormula>PROYECCION[[#This Row],[Plantas por Ha]]*PROYECCION[[#This Row],[Frutos por Planta]]*PROYECCION[[#This Row],[Peso Promedio Fruto]]</calculatedColumnFormula>
    </tableColumn>
    <tableColumn id="12" xr3:uid="{B31F25BC-04AE-4123-9BEC-C9B0AEEDF7A8}" name="Kg Bruto Lote" dataDxfId="11" totalsRowDxfId="10">
      <calculatedColumnFormula>#REF!*85/100</calculatedColumnFormula>
    </tableColumn>
    <tableColumn id="13" xr3:uid="{FBC59A85-B494-4273-8A1E-2560B357AE3B}" name="Kg Exportado Lote" dataDxfId="9" totalsRowDxfId="8">
      <calculatedColumnFormula>PROYECCION[[#This Row],[Kg Bruto Lote]]*0.85</calculatedColumnFormula>
    </tableColumn>
    <tableColumn id="14" xr3:uid="{8D3B3FF6-A323-4DA8-AA44-DFC923021095}" name="Kg Exportado Ha" dataDxfId="7" totalsRowDxfId="6">
      <calculatedColumnFormula>PROYECCION[[#This Row],[Kg Exportado Lote]]/PROYECCION[[#This Row],[Area]]</calculatedColumnFormula>
    </tableColumn>
    <tableColumn id="15" xr3:uid="{B24A3F38-5E2B-4415-B203-64FBAFAC4D07}" name="Estatus" dataDxfId="5" totalsRow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  <wetp:taskpane dockstate="right" visibility="0" width="350" row="12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12B95318-FE01-45FC-823E-354F3533F6AB}">
  <we:reference id="wa200005271" version="1.1.0.0" store="es-ES" storeType="OMEX"/>
  <we:alternateReferences>
    <we:reference id="wa200005271" version="1.1.0.0" store="WA20000527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4133EE3F-5C59-4F75-9DF9-2911E962857B}">
  <we:reference id="wa200004935" version="1.0.0.0" store="es-ES" storeType="OMEX"/>
  <we:alternateReferences>
    <we:reference id="wa200004935" version="1.0.0.0" store="WA200004935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B1D1-6948-4390-9B3C-F8FD27CEA17D}">
  <dimension ref="B6:J70"/>
  <sheetViews>
    <sheetView topLeftCell="A41" zoomScale="90" zoomScaleNormal="90" workbookViewId="0">
      <selection activeCell="G54" sqref="G54:H64"/>
    </sheetView>
  </sheetViews>
  <sheetFormatPr baseColWidth="10" defaultRowHeight="15" x14ac:dyDescent="0.25"/>
  <cols>
    <col min="2" max="2" width="21.85546875" customWidth="1"/>
    <col min="3" max="3" width="14.5703125" bestFit="1" customWidth="1"/>
    <col min="4" max="4" width="20.42578125" bestFit="1" customWidth="1"/>
    <col min="5" max="5" width="30.140625" bestFit="1" customWidth="1"/>
    <col min="8" max="8" width="20.42578125" bestFit="1" customWidth="1"/>
    <col min="9" max="9" width="12.85546875" bestFit="1" customWidth="1"/>
    <col min="10" max="10" width="20.42578125" bestFit="1" customWidth="1"/>
  </cols>
  <sheetData>
    <row r="6" spans="2:10" ht="15.75" thickBot="1" x14ac:dyDescent="0.3"/>
    <row r="7" spans="2:10" ht="23.45" customHeight="1" thickBot="1" x14ac:dyDescent="0.3">
      <c r="B7" s="70" t="s">
        <v>88</v>
      </c>
      <c r="C7" s="72" t="s">
        <v>89</v>
      </c>
      <c r="D7" s="72" t="s">
        <v>100</v>
      </c>
      <c r="E7" s="71" t="s">
        <v>109</v>
      </c>
      <c r="H7" s="70" t="s">
        <v>88</v>
      </c>
      <c r="I7" s="72" t="s">
        <v>89</v>
      </c>
      <c r="J7" s="71" t="s">
        <v>100</v>
      </c>
    </row>
    <row r="8" spans="2:10" x14ac:dyDescent="0.25">
      <c r="B8" s="78" t="s">
        <v>87</v>
      </c>
      <c r="C8" s="73" t="s">
        <v>90</v>
      </c>
      <c r="D8" s="73" t="s">
        <v>93</v>
      </c>
      <c r="E8" s="76" t="s">
        <v>103</v>
      </c>
      <c r="H8" s="78" t="s">
        <v>4</v>
      </c>
      <c r="I8" s="73" t="s">
        <v>90</v>
      </c>
      <c r="J8" s="76" t="s">
        <v>101</v>
      </c>
    </row>
    <row r="9" spans="2:10" x14ac:dyDescent="0.25">
      <c r="B9" s="78" t="s">
        <v>66</v>
      </c>
      <c r="C9" s="74" t="s">
        <v>90</v>
      </c>
      <c r="D9" s="74" t="s">
        <v>94</v>
      </c>
      <c r="E9" s="76" t="s">
        <v>103</v>
      </c>
      <c r="H9" s="78" t="s">
        <v>1</v>
      </c>
      <c r="I9" s="74" t="s">
        <v>90</v>
      </c>
      <c r="J9" s="76" t="s">
        <v>101</v>
      </c>
    </row>
    <row r="10" spans="2:10" x14ac:dyDescent="0.25">
      <c r="B10" s="78" t="s">
        <v>3</v>
      </c>
      <c r="C10" s="74" t="s">
        <v>90</v>
      </c>
      <c r="D10" s="74" t="s">
        <v>92</v>
      </c>
      <c r="E10" s="76" t="s">
        <v>106</v>
      </c>
      <c r="H10" s="78" t="s">
        <v>3</v>
      </c>
      <c r="I10" s="74" t="s">
        <v>90</v>
      </c>
      <c r="J10" s="76" t="s">
        <v>101</v>
      </c>
    </row>
    <row r="11" spans="2:10" x14ac:dyDescent="0.25">
      <c r="B11" s="78" t="s">
        <v>1</v>
      </c>
      <c r="C11" s="74" t="s">
        <v>90</v>
      </c>
      <c r="D11" s="74" t="s">
        <v>92</v>
      </c>
      <c r="E11" s="76" t="s">
        <v>106</v>
      </c>
      <c r="H11" s="78" t="s">
        <v>6</v>
      </c>
      <c r="I11" s="74" t="s">
        <v>90</v>
      </c>
      <c r="J11" s="76" t="s">
        <v>101</v>
      </c>
    </row>
    <row r="12" spans="2:10" x14ac:dyDescent="0.25">
      <c r="B12" s="78" t="s">
        <v>4</v>
      </c>
      <c r="C12" s="74" t="s">
        <v>90</v>
      </c>
      <c r="D12" s="74" t="s">
        <v>92</v>
      </c>
      <c r="E12" s="76" t="s">
        <v>106</v>
      </c>
      <c r="H12" s="78" t="s">
        <v>60</v>
      </c>
      <c r="I12" s="74" t="s">
        <v>96</v>
      </c>
      <c r="J12" s="76" t="s">
        <v>101</v>
      </c>
    </row>
    <row r="13" spans="2:10" x14ac:dyDescent="0.25">
      <c r="B13" s="78" t="s">
        <v>5</v>
      </c>
      <c r="C13" s="74" t="s">
        <v>96</v>
      </c>
      <c r="D13" s="74" t="s">
        <v>92</v>
      </c>
      <c r="E13" s="76" t="s">
        <v>106</v>
      </c>
      <c r="H13" s="78" t="s">
        <v>11</v>
      </c>
      <c r="I13" s="74" t="s">
        <v>90</v>
      </c>
      <c r="J13" s="76" t="s">
        <v>101</v>
      </c>
    </row>
    <row r="14" spans="2:10" x14ac:dyDescent="0.25">
      <c r="B14" s="78" t="s">
        <v>6</v>
      </c>
      <c r="C14" s="74" t="s">
        <v>90</v>
      </c>
      <c r="D14" s="74" t="s">
        <v>92</v>
      </c>
      <c r="E14" s="76" t="s">
        <v>106</v>
      </c>
      <c r="H14" s="78" t="s">
        <v>61</v>
      </c>
      <c r="I14" s="74" t="s">
        <v>67</v>
      </c>
      <c r="J14" s="76" t="s">
        <v>101</v>
      </c>
    </row>
    <row r="15" spans="2:10" x14ac:dyDescent="0.25">
      <c r="B15" s="78" t="s">
        <v>7</v>
      </c>
      <c r="C15" s="74" t="s">
        <v>90</v>
      </c>
      <c r="D15" s="74" t="s">
        <v>92</v>
      </c>
      <c r="E15" s="76" t="s">
        <v>106</v>
      </c>
      <c r="H15" s="78" t="s">
        <v>62</v>
      </c>
      <c r="I15" s="74" t="s">
        <v>96</v>
      </c>
      <c r="J15" s="76" t="s">
        <v>101</v>
      </c>
    </row>
    <row r="16" spans="2:10" x14ac:dyDescent="0.25">
      <c r="B16" s="78" t="s">
        <v>76</v>
      </c>
      <c r="C16" s="74" t="s">
        <v>90</v>
      </c>
      <c r="D16" s="74" t="s">
        <v>101</v>
      </c>
      <c r="E16" s="76" t="s">
        <v>98</v>
      </c>
      <c r="H16" s="78" t="s">
        <v>63</v>
      </c>
      <c r="I16" s="74" t="s">
        <v>96</v>
      </c>
      <c r="J16" s="76" t="s">
        <v>101</v>
      </c>
    </row>
    <row r="17" spans="2:10" x14ac:dyDescent="0.25">
      <c r="B17" s="78" t="s">
        <v>77</v>
      </c>
      <c r="C17" s="74" t="s">
        <v>96</v>
      </c>
      <c r="D17" s="74" t="s">
        <v>102</v>
      </c>
      <c r="E17" s="76" t="s">
        <v>98</v>
      </c>
      <c r="H17" s="78" t="s">
        <v>64</v>
      </c>
      <c r="I17" s="74" t="s">
        <v>96</v>
      </c>
      <c r="J17" s="76" t="s">
        <v>101</v>
      </c>
    </row>
    <row r="18" spans="2:10" x14ac:dyDescent="0.25">
      <c r="B18" s="79" t="s">
        <v>78</v>
      </c>
      <c r="C18" s="74" t="s">
        <v>91</v>
      </c>
      <c r="D18" s="74" t="s">
        <v>101</v>
      </c>
      <c r="E18" s="76" t="s">
        <v>98</v>
      </c>
      <c r="H18" s="78" t="s">
        <v>65</v>
      </c>
      <c r="I18" s="74" t="s">
        <v>96</v>
      </c>
      <c r="J18" s="76" t="s">
        <v>101</v>
      </c>
    </row>
    <row r="19" spans="2:10" x14ac:dyDescent="0.25">
      <c r="B19" s="78" t="s">
        <v>99</v>
      </c>
      <c r="C19" s="74" t="s">
        <v>90</v>
      </c>
      <c r="D19" s="74" t="s">
        <v>101</v>
      </c>
      <c r="E19" s="76" t="s">
        <v>104</v>
      </c>
      <c r="H19" s="78" t="s">
        <v>59</v>
      </c>
      <c r="I19" s="74" t="s">
        <v>96</v>
      </c>
      <c r="J19" s="76" t="s">
        <v>102</v>
      </c>
    </row>
    <row r="20" spans="2:10" x14ac:dyDescent="0.25">
      <c r="B20" s="78" t="s">
        <v>30</v>
      </c>
      <c r="C20" s="74" t="s">
        <v>90</v>
      </c>
      <c r="D20" s="74" t="s">
        <v>101</v>
      </c>
      <c r="E20" s="76" t="s">
        <v>98</v>
      </c>
      <c r="H20" s="78" t="s">
        <v>58</v>
      </c>
      <c r="I20" s="74" t="s">
        <v>96</v>
      </c>
      <c r="J20" s="76" t="s">
        <v>102</v>
      </c>
    </row>
    <row r="21" spans="2:10" x14ac:dyDescent="0.25">
      <c r="B21" s="80" t="s">
        <v>67</v>
      </c>
      <c r="C21" s="74" t="s">
        <v>67</v>
      </c>
      <c r="D21" s="74" t="s">
        <v>101</v>
      </c>
      <c r="E21" s="76" t="s">
        <v>105</v>
      </c>
      <c r="H21" s="78" t="s">
        <v>57</v>
      </c>
      <c r="I21" s="74" t="s">
        <v>96</v>
      </c>
      <c r="J21" s="76" t="s">
        <v>102</v>
      </c>
    </row>
    <row r="22" spans="2:10" x14ac:dyDescent="0.25">
      <c r="B22" s="80" t="s">
        <v>86</v>
      </c>
      <c r="C22" s="74" t="s">
        <v>96</v>
      </c>
      <c r="D22" s="74" t="s">
        <v>101</v>
      </c>
      <c r="E22" s="76" t="s">
        <v>98</v>
      </c>
      <c r="H22" s="78" t="s">
        <v>55</v>
      </c>
      <c r="I22" s="74" t="s">
        <v>96</v>
      </c>
      <c r="J22" s="76" t="s">
        <v>107</v>
      </c>
    </row>
    <row r="23" spans="2:10" ht="15.75" thickBot="1" x14ac:dyDescent="0.3">
      <c r="B23" s="80" t="s">
        <v>68</v>
      </c>
      <c r="C23" s="74" t="s">
        <v>96</v>
      </c>
      <c r="D23" s="74" t="s">
        <v>107</v>
      </c>
      <c r="E23" s="76" t="s">
        <v>98</v>
      </c>
      <c r="H23" s="83" t="s">
        <v>10</v>
      </c>
      <c r="I23" s="75" t="s">
        <v>90</v>
      </c>
      <c r="J23" s="77" t="s">
        <v>101</v>
      </c>
    </row>
    <row r="24" spans="2:10" x14ac:dyDescent="0.25">
      <c r="B24" s="80" t="s">
        <v>85</v>
      </c>
      <c r="C24" s="74" t="s">
        <v>96</v>
      </c>
      <c r="D24" s="74" t="s">
        <v>107</v>
      </c>
      <c r="E24" s="76" t="s">
        <v>98</v>
      </c>
    </row>
    <row r="25" spans="2:10" x14ac:dyDescent="0.25">
      <c r="B25" s="80" t="s">
        <v>84</v>
      </c>
      <c r="C25" s="74" t="s">
        <v>96</v>
      </c>
      <c r="D25" s="74" t="s">
        <v>101</v>
      </c>
      <c r="E25" s="76" t="s">
        <v>104</v>
      </c>
    </row>
    <row r="26" spans="2:10" x14ac:dyDescent="0.25">
      <c r="B26" s="80" t="s">
        <v>79</v>
      </c>
      <c r="C26" s="74" t="s">
        <v>96</v>
      </c>
      <c r="D26" s="74" t="s">
        <v>102</v>
      </c>
      <c r="E26" s="76" t="s">
        <v>98</v>
      </c>
    </row>
    <row r="27" spans="2:10" x14ac:dyDescent="0.25">
      <c r="B27" s="80" t="s">
        <v>81</v>
      </c>
      <c r="C27" s="74" t="s">
        <v>91</v>
      </c>
      <c r="D27" s="74" t="s">
        <v>101</v>
      </c>
      <c r="E27" s="76" t="s">
        <v>98</v>
      </c>
    </row>
    <row r="28" spans="2:10" x14ac:dyDescent="0.25">
      <c r="B28" s="80" t="s">
        <v>80</v>
      </c>
      <c r="C28" s="74" t="s">
        <v>96</v>
      </c>
      <c r="D28" s="74" t="s">
        <v>102</v>
      </c>
      <c r="E28" s="76" t="s">
        <v>98</v>
      </c>
    </row>
    <row r="29" spans="2:10" x14ac:dyDescent="0.25">
      <c r="B29" s="80" t="s">
        <v>69</v>
      </c>
      <c r="C29" s="74" t="s">
        <v>91</v>
      </c>
      <c r="D29" s="74" t="s">
        <v>101</v>
      </c>
      <c r="E29" s="76" t="s">
        <v>98</v>
      </c>
    </row>
    <row r="30" spans="2:10" x14ac:dyDescent="0.25">
      <c r="B30" s="80" t="s">
        <v>82</v>
      </c>
      <c r="C30" s="74" t="s">
        <v>96</v>
      </c>
      <c r="D30" s="74" t="s">
        <v>102</v>
      </c>
      <c r="E30" s="76" t="s">
        <v>98</v>
      </c>
    </row>
    <row r="31" spans="2:10" x14ac:dyDescent="0.25">
      <c r="B31" s="80" t="s">
        <v>8</v>
      </c>
      <c r="C31" s="74" t="s">
        <v>91</v>
      </c>
      <c r="D31" s="74" t="s">
        <v>101</v>
      </c>
      <c r="E31" s="76" t="s">
        <v>98</v>
      </c>
    </row>
    <row r="32" spans="2:10" x14ac:dyDescent="0.25">
      <c r="B32" s="80" t="s">
        <v>83</v>
      </c>
      <c r="C32" s="74" t="s">
        <v>96</v>
      </c>
      <c r="D32" s="74" t="s">
        <v>101</v>
      </c>
      <c r="E32" s="76" t="s">
        <v>105</v>
      </c>
    </row>
    <row r="33" spans="2:10" x14ac:dyDescent="0.25">
      <c r="B33" s="81" t="s">
        <v>53</v>
      </c>
      <c r="C33" s="74" t="s">
        <v>96</v>
      </c>
      <c r="D33" s="74" t="s">
        <v>97</v>
      </c>
      <c r="E33" s="76" t="s">
        <v>95</v>
      </c>
    </row>
    <row r="34" spans="2:10" x14ac:dyDescent="0.25">
      <c r="B34" s="81" t="s">
        <v>54</v>
      </c>
      <c r="C34" s="74" t="s">
        <v>96</v>
      </c>
      <c r="D34" s="74" t="s">
        <v>107</v>
      </c>
      <c r="E34" s="76" t="s">
        <v>95</v>
      </c>
    </row>
    <row r="35" spans="2:10" x14ac:dyDescent="0.25">
      <c r="B35" s="81" t="s">
        <v>56</v>
      </c>
      <c r="C35" s="74" t="s">
        <v>96</v>
      </c>
      <c r="D35" s="74" t="s">
        <v>107</v>
      </c>
      <c r="E35" s="76" t="s">
        <v>95</v>
      </c>
    </row>
    <row r="36" spans="2:10" x14ac:dyDescent="0.25">
      <c r="B36" s="81" t="s">
        <v>9</v>
      </c>
      <c r="C36" s="74" t="s">
        <v>90</v>
      </c>
      <c r="D36" s="74" t="s">
        <v>101</v>
      </c>
      <c r="E36" s="76" t="s">
        <v>106</v>
      </c>
    </row>
    <row r="37" spans="2:10" ht="15.75" thickBot="1" x14ac:dyDescent="0.3">
      <c r="B37" s="82" t="s">
        <v>108</v>
      </c>
      <c r="C37" s="75" t="s">
        <v>90</v>
      </c>
      <c r="D37" s="75" t="s">
        <v>101</v>
      </c>
      <c r="E37" s="77" t="s">
        <v>104</v>
      </c>
    </row>
    <row r="39" spans="2:10" ht="15.75" thickBot="1" x14ac:dyDescent="0.3"/>
    <row r="40" spans="2:10" ht="20.100000000000001" customHeight="1" thickBot="1" x14ac:dyDescent="0.3">
      <c r="B40" s="70" t="s">
        <v>88</v>
      </c>
      <c r="C40" s="72" t="s">
        <v>89</v>
      </c>
    </row>
    <row r="41" spans="2:10" ht="15.75" thickBot="1" x14ac:dyDescent="0.3">
      <c r="B41" s="78" t="s">
        <v>87</v>
      </c>
      <c r="C41" s="73" t="s">
        <v>120</v>
      </c>
      <c r="G41" s="73" t="s">
        <v>120</v>
      </c>
      <c r="H41" t="s">
        <v>132</v>
      </c>
      <c r="J41" t="str">
        <f>UPPER(G41)</f>
        <v>INT</v>
      </c>
    </row>
    <row r="42" spans="2:10" ht="15.75" thickBot="1" x14ac:dyDescent="0.3">
      <c r="B42" s="78" t="s">
        <v>66</v>
      </c>
      <c r="C42" s="74" t="s">
        <v>121</v>
      </c>
      <c r="G42" s="73" t="s">
        <v>121</v>
      </c>
      <c r="H42" t="s">
        <v>90</v>
      </c>
      <c r="J42" t="str">
        <f t="shared" ref="J42:J51" si="0">UPPER(G42)</f>
        <v>OBJECT</v>
      </c>
    </row>
    <row r="43" spans="2:10" ht="15.75" thickBot="1" x14ac:dyDescent="0.3">
      <c r="B43" s="78" t="s">
        <v>3</v>
      </c>
      <c r="C43" s="74" t="s">
        <v>121</v>
      </c>
      <c r="G43" s="73" t="s">
        <v>122</v>
      </c>
      <c r="H43" t="s">
        <v>131</v>
      </c>
      <c r="J43" t="str">
        <f t="shared" si="0"/>
        <v>FLOAT</v>
      </c>
    </row>
    <row r="44" spans="2:10" ht="15.75" thickBot="1" x14ac:dyDescent="0.3">
      <c r="B44" s="78" t="s">
        <v>1</v>
      </c>
      <c r="C44" s="74" t="s">
        <v>121</v>
      </c>
      <c r="G44" s="73" t="s">
        <v>123</v>
      </c>
      <c r="H44" t="s">
        <v>67</v>
      </c>
      <c r="J44" t="str">
        <f t="shared" si="0"/>
        <v>DATE</v>
      </c>
    </row>
    <row r="45" spans="2:10" ht="15.75" thickBot="1" x14ac:dyDescent="0.3">
      <c r="B45" s="78" t="s">
        <v>4</v>
      </c>
      <c r="C45" s="74" t="s">
        <v>121</v>
      </c>
      <c r="G45" s="73" t="s">
        <v>124</v>
      </c>
      <c r="H45" t="s">
        <v>128</v>
      </c>
      <c r="J45" t="str">
        <f t="shared" si="0"/>
        <v>CATEGORY</v>
      </c>
    </row>
    <row r="46" spans="2:10" ht="15.75" thickBot="1" x14ac:dyDescent="0.3">
      <c r="B46" s="78" t="s">
        <v>5</v>
      </c>
      <c r="C46" s="74" t="s">
        <v>122</v>
      </c>
      <c r="G46" s="73" t="s">
        <v>125</v>
      </c>
      <c r="H46" t="s">
        <v>129</v>
      </c>
      <c r="J46" t="str">
        <f t="shared" si="0"/>
        <v>EMPTY</v>
      </c>
    </row>
    <row r="47" spans="2:10" ht="15.75" thickBot="1" x14ac:dyDescent="0.3">
      <c r="B47" s="78" t="s">
        <v>6</v>
      </c>
      <c r="C47" s="74" t="s">
        <v>121</v>
      </c>
      <c r="G47" s="73" t="s">
        <v>126</v>
      </c>
      <c r="H47" t="s">
        <v>130</v>
      </c>
      <c r="J47" t="str">
        <f t="shared" si="0"/>
        <v>SET</v>
      </c>
    </row>
    <row r="48" spans="2:10" x14ac:dyDescent="0.25">
      <c r="B48" s="78" t="s">
        <v>7</v>
      </c>
      <c r="C48" s="74" t="s">
        <v>121</v>
      </c>
      <c r="G48" s="73" t="s">
        <v>127</v>
      </c>
      <c r="H48" t="s">
        <v>139</v>
      </c>
      <c r="J48" t="str">
        <f t="shared" si="0"/>
        <v>DICTIONAY</v>
      </c>
    </row>
    <row r="49" spans="2:10" x14ac:dyDescent="0.25">
      <c r="B49" s="78" t="s">
        <v>76</v>
      </c>
      <c r="C49" s="74" t="s">
        <v>121</v>
      </c>
      <c r="G49" s="88" t="s">
        <v>133</v>
      </c>
      <c r="H49" t="s">
        <v>135</v>
      </c>
      <c r="J49" t="str">
        <f t="shared" si="0"/>
        <v>TUPLA</v>
      </c>
    </row>
    <row r="50" spans="2:10" x14ac:dyDescent="0.25">
      <c r="B50" s="78" t="s">
        <v>77</v>
      </c>
      <c r="C50" s="74" t="s">
        <v>122</v>
      </c>
      <c r="G50" s="88" t="s">
        <v>134</v>
      </c>
      <c r="H50" t="s">
        <v>136</v>
      </c>
      <c r="J50" t="str">
        <f t="shared" si="0"/>
        <v>ARRAY</v>
      </c>
    </row>
    <row r="51" spans="2:10" x14ac:dyDescent="0.25">
      <c r="B51" s="79" t="s">
        <v>78</v>
      </c>
      <c r="C51" s="74" t="s">
        <v>122</v>
      </c>
      <c r="G51" s="88" t="s">
        <v>137</v>
      </c>
      <c r="H51" t="s">
        <v>138</v>
      </c>
      <c r="J51" t="str">
        <f t="shared" si="0"/>
        <v>BOOLEANO</v>
      </c>
    </row>
    <row r="52" spans="2:10" x14ac:dyDescent="0.25">
      <c r="B52" s="78" t="s">
        <v>99</v>
      </c>
      <c r="C52" s="74" t="s">
        <v>121</v>
      </c>
    </row>
    <row r="53" spans="2:10" ht="15.75" thickBot="1" x14ac:dyDescent="0.3">
      <c r="B53" s="78" t="s">
        <v>30</v>
      </c>
      <c r="C53" s="74" t="s">
        <v>121</v>
      </c>
    </row>
    <row r="54" spans="2:10" x14ac:dyDescent="0.25">
      <c r="B54" s="80" t="s">
        <v>67</v>
      </c>
      <c r="C54" s="74" t="s">
        <v>123</v>
      </c>
      <c r="G54" s="89" t="s">
        <v>120</v>
      </c>
      <c r="H54" s="73" t="s">
        <v>146</v>
      </c>
    </row>
    <row r="55" spans="2:10" x14ac:dyDescent="0.25">
      <c r="B55" s="80" t="s">
        <v>86</v>
      </c>
      <c r="C55" s="74" t="s">
        <v>122</v>
      </c>
      <c r="G55" s="78" t="s">
        <v>121</v>
      </c>
      <c r="H55" s="74" t="s">
        <v>90</v>
      </c>
    </row>
    <row r="56" spans="2:10" x14ac:dyDescent="0.25">
      <c r="B56" s="80" t="s">
        <v>68</v>
      </c>
      <c r="C56" s="74" t="s">
        <v>122</v>
      </c>
      <c r="G56" s="78" t="s">
        <v>122</v>
      </c>
      <c r="H56" s="74" t="s">
        <v>147</v>
      </c>
    </row>
    <row r="57" spans="2:10" x14ac:dyDescent="0.25">
      <c r="B57" s="80" t="s">
        <v>85</v>
      </c>
      <c r="C57" s="74" t="s">
        <v>122</v>
      </c>
      <c r="G57" s="78" t="s">
        <v>123</v>
      </c>
      <c r="H57" s="74" t="s">
        <v>67</v>
      </c>
    </row>
    <row r="58" spans="2:10" x14ac:dyDescent="0.25">
      <c r="B58" s="80" t="s">
        <v>84</v>
      </c>
      <c r="C58" s="74" t="s">
        <v>122</v>
      </c>
      <c r="G58" s="78" t="s">
        <v>124</v>
      </c>
      <c r="H58" s="74" t="s">
        <v>128</v>
      </c>
    </row>
    <row r="59" spans="2:10" x14ac:dyDescent="0.25">
      <c r="B59" s="80" t="s">
        <v>79</v>
      </c>
      <c r="C59" s="74" t="s">
        <v>122</v>
      </c>
      <c r="G59" s="78" t="s">
        <v>140</v>
      </c>
      <c r="H59" s="74" t="s">
        <v>129</v>
      </c>
    </row>
    <row r="60" spans="2:10" x14ac:dyDescent="0.25">
      <c r="B60" s="80" t="s">
        <v>81</v>
      </c>
      <c r="C60" s="74" t="s">
        <v>122</v>
      </c>
      <c r="G60" s="78" t="s">
        <v>141</v>
      </c>
      <c r="H60" s="74" t="s">
        <v>130</v>
      </c>
    </row>
    <row r="61" spans="2:10" x14ac:dyDescent="0.25">
      <c r="B61" s="80" t="s">
        <v>80</v>
      </c>
      <c r="C61" s="74" t="s">
        <v>122</v>
      </c>
      <c r="G61" s="78" t="s">
        <v>142</v>
      </c>
      <c r="H61" s="74" t="s">
        <v>139</v>
      </c>
    </row>
    <row r="62" spans="2:10" x14ac:dyDescent="0.25">
      <c r="B62" s="80" t="s">
        <v>69</v>
      </c>
      <c r="C62" s="74" t="s">
        <v>122</v>
      </c>
      <c r="G62" s="78" t="s">
        <v>143</v>
      </c>
      <c r="H62" s="74" t="s">
        <v>135</v>
      </c>
    </row>
    <row r="63" spans="2:10" x14ac:dyDescent="0.25">
      <c r="B63" s="80" t="s">
        <v>82</v>
      </c>
      <c r="C63" s="74" t="s">
        <v>122</v>
      </c>
      <c r="G63" s="78" t="s">
        <v>144</v>
      </c>
      <c r="H63" s="74" t="s">
        <v>136</v>
      </c>
    </row>
    <row r="64" spans="2:10" ht="15.75" thickBot="1" x14ac:dyDescent="0.3">
      <c r="B64" s="80" t="s">
        <v>8</v>
      </c>
      <c r="C64" s="74" t="s">
        <v>122</v>
      </c>
      <c r="G64" s="83" t="s">
        <v>145</v>
      </c>
      <c r="H64" s="75" t="s">
        <v>138</v>
      </c>
    </row>
    <row r="65" spans="2:3" x14ac:dyDescent="0.25">
      <c r="B65" s="80" t="s">
        <v>83</v>
      </c>
      <c r="C65" s="74" t="s">
        <v>122</v>
      </c>
    </row>
    <row r="66" spans="2:3" x14ac:dyDescent="0.25">
      <c r="B66" s="81" t="s">
        <v>53</v>
      </c>
      <c r="C66" s="74" t="s">
        <v>122</v>
      </c>
    </row>
    <row r="67" spans="2:3" x14ac:dyDescent="0.25">
      <c r="B67" s="81" t="s">
        <v>54</v>
      </c>
      <c r="C67" s="74" t="s">
        <v>122</v>
      </c>
    </row>
    <row r="68" spans="2:3" x14ac:dyDescent="0.25">
      <c r="B68" s="81" t="s">
        <v>56</v>
      </c>
      <c r="C68" s="74" t="s">
        <v>122</v>
      </c>
    </row>
    <row r="69" spans="2:3" x14ac:dyDescent="0.25">
      <c r="B69" s="81" t="s">
        <v>9</v>
      </c>
      <c r="C69" s="74" t="s">
        <v>121</v>
      </c>
    </row>
    <row r="70" spans="2:3" ht="15.75" thickBot="1" x14ac:dyDescent="0.3">
      <c r="B70" s="82" t="s">
        <v>108</v>
      </c>
      <c r="C70" s="75" t="s">
        <v>121</v>
      </c>
    </row>
  </sheetData>
  <conditionalFormatting sqref="B25:B26 B28 B30">
    <cfRule type="expression" dxfId="3" priority="2">
      <formula>$Q25&lt;&gt;ROUND($R25+$T25+$V25,2)</formula>
    </cfRule>
  </conditionalFormatting>
  <conditionalFormatting sqref="B58:B59 B61 B63">
    <cfRule type="expression" dxfId="2" priority="1">
      <formula>$Q58&lt;&gt;ROUND($R58+$T58+$V58,2)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7BBA2-11D2-4E42-B315-C342A92B73A6}">
  <sheetPr>
    <tabColor rgb="FFC00000"/>
    <pageSetUpPr fitToPage="1"/>
  </sheetPr>
  <dimension ref="A1:AO226"/>
  <sheetViews>
    <sheetView showGridLines="0" tabSelected="1" zoomScale="90" zoomScaleNormal="90" zoomScaleSheetLayoutView="80" workbookViewId="0">
      <pane ySplit="1" topLeftCell="A179" activePane="bottomLeft" state="frozen"/>
      <selection pane="bottomLeft" activeCell="A201" sqref="A201:XFD205"/>
    </sheetView>
  </sheetViews>
  <sheetFormatPr baseColWidth="10" defaultColWidth="11.42578125" defaultRowHeight="15" x14ac:dyDescent="0.25"/>
  <cols>
    <col min="1" max="1" width="9.28515625" style="2" customWidth="1"/>
    <col min="2" max="2" width="9.42578125" style="2" customWidth="1"/>
    <col min="3" max="3" width="12.140625" style="2" customWidth="1"/>
    <col min="4" max="4" width="18.140625" style="2" customWidth="1"/>
    <col min="5" max="5" width="8.28515625" style="2" customWidth="1"/>
    <col min="6" max="6" width="11.42578125" style="2" customWidth="1"/>
    <col min="7" max="7" width="11.85546875" style="2" customWidth="1"/>
    <col min="8" max="8" width="11.42578125" style="2" customWidth="1"/>
    <col min="9" max="9" width="11.42578125" style="98" customWidth="1"/>
    <col min="10" max="10" width="11.42578125" style="2" customWidth="1"/>
    <col min="11" max="11" width="11.42578125" style="46" customWidth="1"/>
    <col min="12" max="12" width="13.85546875" style="2" customWidth="1"/>
    <col min="13" max="13" width="12.85546875" style="2" customWidth="1"/>
    <col min="14" max="14" width="11.42578125" style="2" customWidth="1"/>
    <col min="15" max="15" width="11.140625" style="3" customWidth="1"/>
    <col min="16" max="16" width="10.140625" style="2" customWidth="1"/>
    <col min="18" max="18" width="13" style="2" customWidth="1"/>
    <col min="21" max="21" width="13.42578125" style="2" customWidth="1"/>
    <col min="26" max="26" width="10.140625" style="2" customWidth="1"/>
    <col min="27" max="28" width="9.5703125" style="2" customWidth="1"/>
    <col min="29" max="29" width="11.140625" style="8" customWidth="1"/>
    <col min="30" max="30" width="21.85546875" bestFit="1" customWidth="1"/>
    <col min="32" max="32" width="8.140625" style="2" customWidth="1"/>
    <col min="33" max="33" width="11.7109375" style="4" customWidth="1"/>
    <col min="34" max="34" width="9.42578125" style="2" customWidth="1"/>
    <col min="35" max="35" width="9.140625" style="2" customWidth="1"/>
    <col min="36" max="36" width="11.5703125" style="2" customWidth="1"/>
    <col min="37" max="37" width="27.42578125" bestFit="1" customWidth="1"/>
    <col min="39" max="39" width="27.42578125" style="2" bestFit="1" customWidth="1"/>
    <col min="40" max="40" width="11.85546875" style="5" customWidth="1"/>
    <col min="41" max="41" width="27.42578125" style="2" bestFit="1" customWidth="1"/>
    <col min="42" max="42" width="30.28515625" style="2" bestFit="1" customWidth="1"/>
    <col min="43" max="43" width="11.42578125" style="2" customWidth="1"/>
    <col min="44" max="16384" width="11.42578125" style="2"/>
  </cols>
  <sheetData>
    <row r="1" spans="1:40" s="1" customFormat="1" ht="34.5" customHeight="1" thickBot="1" x14ac:dyDescent="0.3">
      <c r="A1" s="33" t="s">
        <v>87</v>
      </c>
      <c r="B1" s="33" t="s">
        <v>66</v>
      </c>
      <c r="C1" s="33" t="s">
        <v>3</v>
      </c>
      <c r="D1" s="33" t="s">
        <v>1</v>
      </c>
      <c r="E1" s="33" t="s">
        <v>4</v>
      </c>
      <c r="F1" s="33" t="s">
        <v>5</v>
      </c>
      <c r="G1" s="33" t="s">
        <v>6</v>
      </c>
      <c r="H1" s="33" t="s">
        <v>7</v>
      </c>
      <c r="I1" s="95" t="s">
        <v>76</v>
      </c>
      <c r="J1" s="33" t="s">
        <v>190</v>
      </c>
      <c r="K1" s="43" t="s">
        <v>78</v>
      </c>
      <c r="L1" s="33" t="s">
        <v>31</v>
      </c>
      <c r="M1" s="33" t="s">
        <v>30</v>
      </c>
      <c r="N1" s="34" t="s">
        <v>67</v>
      </c>
      <c r="O1" s="35" t="s">
        <v>86</v>
      </c>
      <c r="P1" s="37" t="s">
        <v>68</v>
      </c>
      <c r="Q1" s="37" t="s">
        <v>85</v>
      </c>
      <c r="R1" s="36" t="s">
        <v>84</v>
      </c>
      <c r="S1" s="38" t="s">
        <v>79</v>
      </c>
      <c r="T1" s="43" t="s">
        <v>81</v>
      </c>
      <c r="U1" s="16" t="s">
        <v>80</v>
      </c>
      <c r="V1" s="16" t="s">
        <v>69</v>
      </c>
      <c r="W1" s="16" t="s">
        <v>82</v>
      </c>
      <c r="X1" s="16" t="s">
        <v>8</v>
      </c>
      <c r="Y1" s="37" t="s">
        <v>83</v>
      </c>
      <c r="Z1" s="16" t="s">
        <v>53</v>
      </c>
      <c r="AA1" s="16" t="s">
        <v>54</v>
      </c>
      <c r="AB1" s="16" t="s">
        <v>56</v>
      </c>
      <c r="AC1" s="16" t="s">
        <v>9</v>
      </c>
      <c r="AD1" s="17" t="s">
        <v>14</v>
      </c>
    </row>
    <row r="2" spans="1:40" ht="14.25" customHeight="1" thickBot="1" x14ac:dyDescent="0.3">
      <c r="A2" s="42">
        <f t="shared" ref="A2" si="0">WEEKNUM(N2)</f>
        <v>13</v>
      </c>
      <c r="B2" s="42" t="str">
        <f>TEXT(REPORTE[[#This Row],[Fecha]],"MMMM")</f>
        <v>Marzo</v>
      </c>
      <c r="C2" s="42" t="str">
        <f>IFERROR(VLOOKUP(REPORTE[[#This Row],[Lote]],PROYECCION[],3,FALSE),"")</f>
        <v>Don Nico</v>
      </c>
      <c r="D2" s="47" t="str">
        <f>IFERROR(VLOOKUP(REPORTE[[#This Row],[Lote]],PROYECCION[],2,FALSE),"")</f>
        <v>Agricola Guili S.A.C</v>
      </c>
      <c r="E2" s="54" t="s">
        <v>47</v>
      </c>
      <c r="F2" s="53">
        <f>IFERROR(VLOOKUP(REPORTE[[#This Row],[Lote]],PROYECCION[],5,FALSE),"")</f>
        <v>9.7542016806722689</v>
      </c>
      <c r="G2" s="42" t="str">
        <f>IFERROR(VLOOKUP(REPORTE[[#This Row],[Lote]],PROYECCION[],4,FALSE),"")</f>
        <v>Hass</v>
      </c>
      <c r="H2" s="42" t="str">
        <f>IFERROR(VLOOKUP(REPORTE[[#This Row],[Lote]],PROYECCION[],6,FALSE),"")</f>
        <v>Negra</v>
      </c>
      <c r="I2" s="96"/>
      <c r="J2" s="99"/>
      <c r="K2" s="44"/>
      <c r="L2" s="42" t="s">
        <v>148</v>
      </c>
      <c r="M2" s="47" t="s">
        <v>70</v>
      </c>
      <c r="N2" s="52">
        <v>45376</v>
      </c>
      <c r="O2" s="49">
        <v>5</v>
      </c>
      <c r="P2" s="48">
        <f t="shared" ref="P2:P35" si="1">IFERROR((+R2/O2),"")</f>
        <v>428.13400000000001</v>
      </c>
      <c r="Q2" s="56">
        <f t="shared" ref="Q2:Q35" si="2">+S2/10</f>
        <v>200.5003122080349</v>
      </c>
      <c r="R2" s="62">
        <v>2140.67</v>
      </c>
      <c r="S2" s="57">
        <f t="shared" ref="S2:S35" si="3">+R2*T2</f>
        <v>2005.0031220803489</v>
      </c>
      <c r="T2" s="60">
        <v>0.93662410464029899</v>
      </c>
      <c r="U2" s="58">
        <f t="shared" ref="U2:U35" si="4">R2*V2</f>
        <v>45.625071044845825</v>
      </c>
      <c r="V2" s="60">
        <v>2.1313453752725E-2</v>
      </c>
      <c r="W2" s="57">
        <f t="shared" ref="W2:W35" si="5">R2*X2</f>
        <v>90.041806874805317</v>
      </c>
      <c r="X2" s="60">
        <v>4.2062441606976003E-2</v>
      </c>
      <c r="Y2" s="59"/>
      <c r="Z2" s="15">
        <f t="shared" ref="Z2:Z35" si="6">R2+Y2</f>
        <v>2140.67</v>
      </c>
      <c r="AA2" s="15">
        <f t="shared" ref="AA2:AA35" si="7">IFERROR((Z2/F2),"")</f>
        <v>219.4613224208486</v>
      </c>
      <c r="AB2" s="68">
        <f>IFERROR(REPORTE[[#This Row],[Kg Exportados]]/REPORTE[[#This Row],[Ha]],"")</f>
        <v>205.55276461560328</v>
      </c>
      <c r="AC2" s="54" t="str">
        <f>IFERROR(VLOOKUP(REPORTE[[#This Row],[Lote]],PROYECCION[],16,FALSE),"")</f>
        <v>Cosechando</v>
      </c>
      <c r="AD2" s="64" t="s">
        <v>32</v>
      </c>
      <c r="AE2" s="2"/>
      <c r="AG2" s="2"/>
      <c r="AK2" s="2"/>
      <c r="AL2" s="2"/>
      <c r="AN2" s="2"/>
    </row>
    <row r="3" spans="1:40" ht="14.25" customHeight="1" x14ac:dyDescent="0.25">
      <c r="A3" s="42">
        <f>WEEKNUM(N3)</f>
        <v>13</v>
      </c>
      <c r="B3" s="42" t="str">
        <f>TEXT(REPORTE[[#This Row],[Fecha]],"MMMM")</f>
        <v>Marzo</v>
      </c>
      <c r="C3" s="42" t="str">
        <f>IFERROR(VLOOKUP(REPORTE[[#This Row],[Lote]],PROYECCION[],3,FALSE),"")</f>
        <v>Don Nico</v>
      </c>
      <c r="D3" s="47" t="str">
        <f>IFERROR(VLOOKUP(REPORTE[[#This Row],[Lote]],PROYECCION[],2,FALSE),"")</f>
        <v>Agricola Guili S.A.C</v>
      </c>
      <c r="E3" s="90" t="s">
        <v>46</v>
      </c>
      <c r="F3" s="53">
        <f>IFERROR(VLOOKUP(REPORTE[[#This Row],[Lote]],PROYECCION[],5,FALSE),"")</f>
        <v>10.911764705882353</v>
      </c>
      <c r="G3" s="42" t="str">
        <f>IFERROR(VLOOKUP(REPORTE[[#This Row],[Lote]],PROYECCION[],4,FALSE),"")</f>
        <v>Hass</v>
      </c>
      <c r="H3" s="42" t="str">
        <f>IFERROR(VLOOKUP(REPORTE[[#This Row],[Lote]],PROYECCION[],6,FALSE),"")</f>
        <v>Negra</v>
      </c>
      <c r="I3" s="96"/>
      <c r="J3" s="15"/>
      <c r="K3" s="44"/>
      <c r="L3" s="42" t="s">
        <v>148</v>
      </c>
      <c r="M3" s="47" t="s">
        <v>70</v>
      </c>
      <c r="N3" s="51">
        <v>45376</v>
      </c>
      <c r="O3" s="91">
        <v>10</v>
      </c>
      <c r="P3" s="48">
        <f>IFERROR((+R3/O3),"")</f>
        <v>428.13299999999998</v>
      </c>
      <c r="Q3" s="56">
        <f>+S3/10</f>
        <v>400.99968779196513</v>
      </c>
      <c r="R3" s="92">
        <v>4281.33</v>
      </c>
      <c r="S3" s="57">
        <f>+R3*T3</f>
        <v>4009.9968779196511</v>
      </c>
      <c r="T3" s="93">
        <v>0.93662410464029899</v>
      </c>
      <c r="U3" s="58">
        <f>R3*V3</f>
        <v>91.249928955154118</v>
      </c>
      <c r="V3" s="93">
        <v>2.1313453752725E-2</v>
      </c>
      <c r="W3" s="57">
        <f>R3*X3</f>
        <v>180.08319312519455</v>
      </c>
      <c r="X3" s="93">
        <v>4.2062441606976003E-2</v>
      </c>
      <c r="Y3" s="59"/>
      <c r="Z3" s="15">
        <f>R3+Y3</f>
        <v>4281.33</v>
      </c>
      <c r="AA3" s="15">
        <f>IFERROR((Z3/F3),"")</f>
        <v>392.35908355795146</v>
      </c>
      <c r="AB3" s="68">
        <f>IFERROR(REPORTE[[#This Row],[Kg Exportados]]/REPORTE[[#This Row],[Ha]],"")</f>
        <v>367.49297533495451</v>
      </c>
      <c r="AC3" s="90" t="str">
        <f>IFERROR(VLOOKUP(REPORTE[[#This Row],[Lote]],PROYECCION[],16,FALSE),"")</f>
        <v>Cosechando</v>
      </c>
      <c r="AD3" s="64" t="s">
        <v>32</v>
      </c>
      <c r="AE3" s="2"/>
      <c r="AG3" s="2"/>
      <c r="AK3" s="2"/>
      <c r="AL3" s="2"/>
      <c r="AN3" s="2"/>
    </row>
    <row r="4" spans="1:40" ht="14.25" customHeight="1" x14ac:dyDescent="0.25">
      <c r="A4" s="42">
        <f>WEEKNUM(N4)</f>
        <v>13</v>
      </c>
      <c r="B4" s="42" t="str">
        <f>TEXT(REPORTE[[#This Row],[Fecha]],"MMMM")</f>
        <v>Marzo</v>
      </c>
      <c r="C4" s="42" t="str">
        <f>IFERROR(VLOOKUP(REPORTE[[#This Row],[Lote]],PROYECCION[],3,FALSE),"")</f>
        <v>Don Nico</v>
      </c>
      <c r="D4" s="47" t="str">
        <f>IFERROR(VLOOKUP(REPORTE[[#This Row],[Lote]],PROYECCION[],2,FALSE),"")</f>
        <v>Agricola Guili S.A.C</v>
      </c>
      <c r="E4" s="90" t="s">
        <v>45</v>
      </c>
      <c r="F4" s="53">
        <f>IFERROR(VLOOKUP(REPORTE[[#This Row],[Lote]],PROYECCION[],5,FALSE),"")</f>
        <v>11.756302521008404</v>
      </c>
      <c r="G4" s="42" t="str">
        <f>IFERROR(VLOOKUP(REPORTE[[#This Row],[Lote]],PROYECCION[],4,FALSE),"")</f>
        <v>Hass</v>
      </c>
      <c r="H4" s="42" t="str">
        <f>IFERROR(VLOOKUP(REPORTE[[#This Row],[Lote]],PROYECCION[],6,FALSE),"")</f>
        <v>Negra</v>
      </c>
      <c r="I4" s="96"/>
      <c r="J4" s="15"/>
      <c r="K4" s="44"/>
      <c r="L4" s="42" t="s">
        <v>148</v>
      </c>
      <c r="M4" s="47" t="s">
        <v>70</v>
      </c>
      <c r="N4" s="52">
        <v>45376</v>
      </c>
      <c r="O4" s="91">
        <v>18</v>
      </c>
      <c r="P4" s="48">
        <f>IFERROR((+R4/O4),"")</f>
        <v>428.13333333333333</v>
      </c>
      <c r="Q4" s="56">
        <f>+S4/10</f>
        <v>721.8</v>
      </c>
      <c r="R4" s="92">
        <v>7706.4</v>
      </c>
      <c r="S4" s="57">
        <f>+R4*T4</f>
        <v>7218</v>
      </c>
      <c r="T4" s="93">
        <v>0.93662410464029899</v>
      </c>
      <c r="U4" s="58">
        <f>R4*V4</f>
        <v>164.24999999999994</v>
      </c>
      <c r="V4" s="93">
        <v>2.1313453752725E-2</v>
      </c>
      <c r="W4" s="57">
        <f>R4*X4</f>
        <v>324.14999999999986</v>
      </c>
      <c r="X4" s="93">
        <v>4.2062441606976003E-2</v>
      </c>
      <c r="Y4" s="59"/>
      <c r="Z4" s="15">
        <f>R4+Y4</f>
        <v>7706.4</v>
      </c>
      <c r="AA4" s="15">
        <f>IFERROR((Z4/F4),"")</f>
        <v>655.5122230164402</v>
      </c>
      <c r="AB4" s="68">
        <f>IFERROR(REPORTE[[#This Row],[Kg Exportados]]/REPORTE[[#This Row],[Ha]],"")</f>
        <v>613.96854896354535</v>
      </c>
      <c r="AC4" s="90" t="str">
        <f>IFERROR(VLOOKUP(REPORTE[[#This Row],[Lote]],PROYECCION[],16,FALSE),"")</f>
        <v>Cosechando</v>
      </c>
      <c r="AD4" s="64" t="s">
        <v>32</v>
      </c>
      <c r="AE4" s="2"/>
      <c r="AG4" s="2"/>
      <c r="AK4" s="2"/>
      <c r="AL4" s="2"/>
      <c r="AN4" s="2"/>
    </row>
    <row r="5" spans="1:40" ht="14.25" customHeight="1" x14ac:dyDescent="0.25">
      <c r="A5" s="42">
        <f>WEEKNUM(N5)</f>
        <v>13</v>
      </c>
      <c r="B5" s="42" t="str">
        <f>TEXT(REPORTE[[#This Row],[Fecha]],"MMMM")</f>
        <v>Marzo</v>
      </c>
      <c r="C5" s="42" t="str">
        <f>IFERROR(VLOOKUP(REPORTE[[#This Row],[Lote]],PROYECCION[],3,FALSE),"")</f>
        <v>Don Nico</v>
      </c>
      <c r="D5" s="47" t="str">
        <f>IFERROR(VLOOKUP(REPORTE[[#This Row],[Lote]],PROYECCION[],2,FALSE),"")</f>
        <v>Agricola Guili S.A.C</v>
      </c>
      <c r="E5" s="90" t="s">
        <v>44</v>
      </c>
      <c r="F5" s="53">
        <f>IFERROR(VLOOKUP(REPORTE[[#This Row],[Lote]],PROYECCION[],5,FALSE),"")</f>
        <v>11.623949579831933</v>
      </c>
      <c r="G5" s="42" t="str">
        <f>IFERROR(VLOOKUP(REPORTE[[#This Row],[Lote]],PROYECCION[],4,FALSE),"")</f>
        <v>Hass</v>
      </c>
      <c r="H5" s="42" t="str">
        <f>IFERROR(VLOOKUP(REPORTE[[#This Row],[Lote]],PROYECCION[],6,FALSE),"")</f>
        <v>Negra</v>
      </c>
      <c r="I5" s="96"/>
      <c r="J5" s="15"/>
      <c r="K5" s="44"/>
      <c r="L5" s="42" t="s">
        <v>148</v>
      </c>
      <c r="M5" s="47" t="s">
        <v>70</v>
      </c>
      <c r="N5" s="52">
        <v>45376</v>
      </c>
      <c r="O5" s="91">
        <v>19</v>
      </c>
      <c r="P5" s="48">
        <f>IFERROR((+R5/O5),"")</f>
        <v>428.13315789473683</v>
      </c>
      <c r="Q5" s="56">
        <f>+S5/10</f>
        <v>761.89968779196511</v>
      </c>
      <c r="R5" s="92">
        <v>8134.53</v>
      </c>
      <c r="S5" s="57">
        <f>+R5*T5</f>
        <v>7618.9968779196515</v>
      </c>
      <c r="T5" s="93">
        <v>0.93662410464029899</v>
      </c>
      <c r="U5" s="58">
        <f>R5*V5</f>
        <v>173.37492895515408</v>
      </c>
      <c r="V5" s="93">
        <v>2.1313453752725E-2</v>
      </c>
      <c r="W5" s="57">
        <f>R5*X5</f>
        <v>342.15819312519449</v>
      </c>
      <c r="X5" s="93">
        <v>4.2062441606976003E-2</v>
      </c>
      <c r="Y5" s="59"/>
      <c r="Z5" s="15">
        <f>R5+Y5</f>
        <v>8134.53</v>
      </c>
      <c r="AA5" s="15">
        <f>IFERROR((Z5/F5),"")</f>
        <v>699.80774986444965</v>
      </c>
      <c r="AB5" s="68">
        <f>IFERROR(REPORTE[[#This Row],[Kg Exportados]]/REPORTE[[#This Row],[Ha]],"")</f>
        <v>655.4568071371325</v>
      </c>
      <c r="AC5" s="90" t="str">
        <f>IFERROR(VLOOKUP(REPORTE[[#This Row],[Lote]],PROYECCION[],16,FALSE),"")</f>
        <v>Cosechando</v>
      </c>
      <c r="AD5" s="64" t="s">
        <v>32</v>
      </c>
      <c r="AE5" s="2"/>
      <c r="AG5" s="2"/>
      <c r="AK5" s="2"/>
      <c r="AL5" s="2"/>
      <c r="AN5" s="2"/>
    </row>
    <row r="6" spans="1:40" ht="14.25" customHeight="1" x14ac:dyDescent="0.25">
      <c r="A6" s="42">
        <f>WEEKNUM(N6)</f>
        <v>13</v>
      </c>
      <c r="B6" s="42" t="str">
        <f>TEXT(REPORTE[[#This Row],[Fecha]],"MMMM")</f>
        <v>Marzo</v>
      </c>
      <c r="C6" s="42" t="str">
        <f>IFERROR(VLOOKUP(REPORTE[[#This Row],[Lote]],PROYECCION[],3,FALSE),"")</f>
        <v>Don Nico</v>
      </c>
      <c r="D6" s="47" t="str">
        <f>IFERROR(VLOOKUP(REPORTE[[#This Row],[Lote]],PROYECCION[],2,FALSE),"")</f>
        <v>Agricola Guili S.A.C</v>
      </c>
      <c r="E6" s="90" t="s">
        <v>43</v>
      </c>
      <c r="F6" s="53">
        <f>IFERROR(VLOOKUP(REPORTE[[#This Row],[Lote]],PROYECCION[],5,FALSE),"")</f>
        <v>11.504201680672269</v>
      </c>
      <c r="G6" s="42" t="str">
        <f>IFERROR(VLOOKUP(REPORTE[[#This Row],[Lote]],PROYECCION[],4,FALSE),"")</f>
        <v>Hass</v>
      </c>
      <c r="H6" s="42" t="str">
        <f>IFERROR(VLOOKUP(REPORTE[[#This Row],[Lote]],PROYECCION[],6,FALSE),"")</f>
        <v>Negra</v>
      </c>
      <c r="I6" s="96"/>
      <c r="J6" s="15"/>
      <c r="K6" s="44"/>
      <c r="L6" s="42" t="s">
        <v>148</v>
      </c>
      <c r="M6" s="47" t="s">
        <v>70</v>
      </c>
      <c r="N6" s="52">
        <v>45376</v>
      </c>
      <c r="O6" s="91">
        <v>5</v>
      </c>
      <c r="P6" s="48">
        <f>IFERROR((+R6/O6),"")</f>
        <v>428.13400000000001</v>
      </c>
      <c r="Q6" s="56">
        <f>+S6/10</f>
        <v>200.5003122080349</v>
      </c>
      <c r="R6" s="92">
        <v>2140.67</v>
      </c>
      <c r="S6" s="57">
        <f>+R6*T6</f>
        <v>2005.0031220803489</v>
      </c>
      <c r="T6" s="93">
        <v>0.93662410464029899</v>
      </c>
      <c r="U6" s="58">
        <f>R6*V6</f>
        <v>45.625071044845825</v>
      </c>
      <c r="V6" s="93">
        <v>2.1313453752725E-2</v>
      </c>
      <c r="W6" s="57">
        <f>R6*X6</f>
        <v>90.041806874805317</v>
      </c>
      <c r="X6" s="93">
        <v>4.2062441606976003E-2</v>
      </c>
      <c r="Y6" s="59"/>
      <c r="Z6" s="15">
        <f>R6+Y6</f>
        <v>2140.67</v>
      </c>
      <c r="AA6" s="15">
        <f>IFERROR((Z6/F6),"")</f>
        <v>186.07723155588022</v>
      </c>
      <c r="AB6" s="68">
        <f>IFERROR(REPORTE[[#This Row],[Kg Exportados]]/REPORTE[[#This Row],[Ha]],"")</f>
        <v>174.28442039997191</v>
      </c>
      <c r="AC6" s="90" t="str">
        <f>IFERROR(VLOOKUP(REPORTE[[#This Row],[Lote]],PROYECCION[],16,FALSE),"")</f>
        <v>Cosechando</v>
      </c>
      <c r="AD6" s="64" t="s">
        <v>32</v>
      </c>
      <c r="AE6" s="2"/>
      <c r="AG6" s="2"/>
      <c r="AK6" s="2"/>
      <c r="AL6" s="2"/>
      <c r="AN6" s="2"/>
    </row>
    <row r="7" spans="1:40" ht="14.25" customHeight="1" x14ac:dyDescent="0.25">
      <c r="A7" s="42">
        <f>WEEKNUM(N7)</f>
        <v>13</v>
      </c>
      <c r="B7" s="42" t="str">
        <f>TEXT(REPORTE[[#This Row],[Fecha]],"MMMM")</f>
        <v>Marzo</v>
      </c>
      <c r="C7" s="42" t="str">
        <f>IFERROR(VLOOKUP(REPORTE[[#This Row],[Lote]],PROYECCION[],3,FALSE),"")</f>
        <v>Cuatro Vientos</v>
      </c>
      <c r="D7" s="47" t="str">
        <f>IFERROR(VLOOKUP(REPORTE[[#This Row],[Lote]],PROYECCION[],2,FALSE),"")</f>
        <v>Agricola Guili S.A.C</v>
      </c>
      <c r="E7" s="90" t="s">
        <v>40</v>
      </c>
      <c r="F7" s="53">
        <f>IFERROR(VLOOKUP(REPORTE[[#This Row],[Lote]],PROYECCION[],5,FALSE),"")</f>
        <v>7.2100840336134455</v>
      </c>
      <c r="G7" s="42" t="str">
        <f>IFERROR(VLOOKUP(REPORTE[[#This Row],[Lote]],PROYECCION[],4,FALSE),"")</f>
        <v>Hass</v>
      </c>
      <c r="H7" s="42" t="str">
        <f>IFERROR(VLOOKUP(REPORTE[[#This Row],[Lote]],PROYECCION[],6,FALSE),"")</f>
        <v>Negra</v>
      </c>
      <c r="I7" s="96"/>
      <c r="J7" s="15"/>
      <c r="K7" s="44"/>
      <c r="L7" s="42" t="s">
        <v>148</v>
      </c>
      <c r="M7" s="47" t="s">
        <v>70</v>
      </c>
      <c r="N7" s="52">
        <v>45376</v>
      </c>
      <c r="O7" s="91">
        <v>3</v>
      </c>
      <c r="P7" s="48">
        <f>IFERROR((+R7/O7),"")</f>
        <v>428.13333333333338</v>
      </c>
      <c r="Q7" s="56">
        <f>+S7/10</f>
        <v>120.3</v>
      </c>
      <c r="R7" s="92">
        <v>1284.4000000000001</v>
      </c>
      <c r="S7" s="57">
        <f>+R7*T7</f>
        <v>1203</v>
      </c>
      <c r="T7" s="93">
        <v>0.93662410464029899</v>
      </c>
      <c r="U7" s="58">
        <f>R7*V7</f>
        <v>27.374999999999993</v>
      </c>
      <c r="V7" s="93">
        <v>2.1313453752725E-2</v>
      </c>
      <c r="W7" s="57">
        <f>R7*X7</f>
        <v>54.024999999999984</v>
      </c>
      <c r="X7" s="93">
        <v>4.2062441606976003E-2</v>
      </c>
      <c r="Y7" s="59"/>
      <c r="Z7" s="15">
        <f>R7+Y7</f>
        <v>1284.4000000000001</v>
      </c>
      <c r="AA7" s="15">
        <f>IFERROR((Z7/F7),"")</f>
        <v>178.13939393939395</v>
      </c>
      <c r="AB7" s="68">
        <f>IFERROR(REPORTE[[#This Row],[Kg Exportados]]/REPORTE[[#This Row],[Ha]],"")</f>
        <v>166.84965034965035</v>
      </c>
      <c r="AC7" s="90" t="str">
        <f>IFERROR(VLOOKUP(REPORTE[[#This Row],[Lote]],PROYECCION[],16,FALSE),"")</f>
        <v>Cosechando</v>
      </c>
      <c r="AD7" s="64" t="s">
        <v>32</v>
      </c>
      <c r="AE7" s="2"/>
      <c r="AG7" s="2"/>
      <c r="AK7" s="2"/>
      <c r="AL7" s="2"/>
      <c r="AN7" s="2"/>
    </row>
    <row r="8" spans="1:40" ht="14.25" customHeight="1" x14ac:dyDescent="0.25">
      <c r="A8" s="42">
        <f t="shared" ref="A8:A35" si="8">WEEKNUM(N8)</f>
        <v>13</v>
      </c>
      <c r="B8" s="42" t="str">
        <f>TEXT(REPORTE[[#This Row],[Fecha]],"MMMM")</f>
        <v>Marzo</v>
      </c>
      <c r="C8" s="42" t="str">
        <f>IFERROR(VLOOKUP(REPORTE[[#This Row],[Lote]],PROYECCION[],3,FALSE),"")</f>
        <v/>
      </c>
      <c r="D8" s="47" t="str">
        <f>IFERROR(VLOOKUP(REPORTE[[#This Row],[Lote]],PROYECCION[],2,FALSE),"")</f>
        <v/>
      </c>
      <c r="E8" s="55"/>
      <c r="F8" s="53" t="str">
        <f>IFERROR(VLOOKUP(REPORTE[[#This Row],[Lote]],PROYECCION[],5,FALSE),"")</f>
        <v/>
      </c>
      <c r="G8" s="42" t="str">
        <f>IFERROR(VLOOKUP(REPORTE[[#This Row],[Lote]],PROYECCION[],4,FALSE),"")</f>
        <v/>
      </c>
      <c r="H8" s="42" t="str">
        <f>IFERROR(VLOOKUP(REPORTE[[#This Row],[Lote]],PROYECCION[],6,FALSE),"")</f>
        <v/>
      </c>
      <c r="I8" s="96" t="s">
        <v>180</v>
      </c>
      <c r="J8" s="15">
        <f>SUM($S$2:$S$7)*REPORTE[[#This Row],[% Calibre]]</f>
        <v>59.999999999999694</v>
      </c>
      <c r="K8" s="44">
        <v>2.4937655860349001E-3</v>
      </c>
      <c r="L8" s="42"/>
      <c r="M8" s="47"/>
      <c r="N8" s="52">
        <v>45376</v>
      </c>
      <c r="O8" s="50"/>
      <c r="P8" s="48" t="str">
        <f t="shared" si="1"/>
        <v/>
      </c>
      <c r="Q8" s="56">
        <f t="shared" si="2"/>
        <v>0</v>
      </c>
      <c r="R8" s="63"/>
      <c r="S8" s="57">
        <f t="shared" si="3"/>
        <v>0</v>
      </c>
      <c r="T8" s="61"/>
      <c r="U8" s="58">
        <f t="shared" si="4"/>
        <v>0</v>
      </c>
      <c r="V8" s="61"/>
      <c r="W8" s="57">
        <f t="shared" si="5"/>
        <v>0</v>
      </c>
      <c r="X8" s="61"/>
      <c r="Y8" s="59"/>
      <c r="Z8" s="15">
        <f t="shared" si="6"/>
        <v>0</v>
      </c>
      <c r="AA8" s="15" t="str">
        <f t="shared" si="7"/>
        <v/>
      </c>
      <c r="AB8" s="58" t="str">
        <f>IFERROR(REPORTE[[#This Row],[Kg Exportados]]/REPORTE[[#This Row],[Ha]],"")</f>
        <v/>
      </c>
      <c r="AC8" s="55" t="str">
        <f>IFERROR(VLOOKUP(REPORTE[[#This Row],[Lote]],PROYECCION[],16,FALSE),"")</f>
        <v/>
      </c>
      <c r="AD8" s="64" t="s">
        <v>32</v>
      </c>
      <c r="AE8" s="2"/>
      <c r="AG8" s="2"/>
      <c r="AK8" s="2"/>
      <c r="AL8" s="2"/>
      <c r="AN8" s="2"/>
    </row>
    <row r="9" spans="1:40" ht="14.25" customHeight="1" x14ac:dyDescent="0.25">
      <c r="A9" s="42">
        <f t="shared" si="8"/>
        <v>13</v>
      </c>
      <c r="B9" s="42" t="str">
        <f>TEXT(REPORTE[[#This Row],[Fecha]],"MMMM")</f>
        <v>Marzo</v>
      </c>
      <c r="C9" s="42" t="str">
        <f>IFERROR(VLOOKUP(REPORTE[[#This Row],[Lote]],PROYECCION[],3,FALSE),"")</f>
        <v/>
      </c>
      <c r="D9" s="47" t="str">
        <f>IFERROR(VLOOKUP(REPORTE[[#This Row],[Lote]],PROYECCION[],2,FALSE),"")</f>
        <v/>
      </c>
      <c r="E9" s="55"/>
      <c r="F9" s="53" t="str">
        <f>IFERROR(VLOOKUP(REPORTE[[#This Row],[Lote]],PROYECCION[],5,FALSE),"")</f>
        <v/>
      </c>
      <c r="G9" s="42" t="str">
        <f>IFERROR(VLOOKUP(REPORTE[[#This Row],[Lote]],PROYECCION[],4,FALSE),"")</f>
        <v/>
      </c>
      <c r="H9" s="42" t="str">
        <f>IFERROR(VLOOKUP(REPORTE[[#This Row],[Lote]],PROYECCION[],6,FALSE),"")</f>
        <v/>
      </c>
      <c r="I9" s="96">
        <v>10</v>
      </c>
      <c r="J9" s="15">
        <f>SUM($S$2:$S$7)*REPORTE[[#This Row],[% Calibre]]</f>
        <v>2160.0000000000009</v>
      </c>
      <c r="K9" s="44">
        <v>8.9775561097256901E-2</v>
      </c>
      <c r="L9" s="42"/>
      <c r="M9" s="47"/>
      <c r="N9" s="52">
        <v>45376</v>
      </c>
      <c r="O9" s="50"/>
      <c r="P9" s="48" t="str">
        <f t="shared" si="1"/>
        <v/>
      </c>
      <c r="Q9" s="56">
        <f t="shared" si="2"/>
        <v>0</v>
      </c>
      <c r="R9" s="63"/>
      <c r="S9" s="57">
        <f t="shared" si="3"/>
        <v>0</v>
      </c>
      <c r="T9" s="61"/>
      <c r="U9" s="58">
        <f t="shared" si="4"/>
        <v>0</v>
      </c>
      <c r="V9" s="61"/>
      <c r="W9" s="57">
        <f t="shared" si="5"/>
        <v>0</v>
      </c>
      <c r="X9" s="61"/>
      <c r="Y9" s="59"/>
      <c r="Z9" s="15">
        <f t="shared" si="6"/>
        <v>0</v>
      </c>
      <c r="AA9" s="15" t="str">
        <f t="shared" si="7"/>
        <v/>
      </c>
      <c r="AB9" s="58" t="str">
        <f>IFERROR(REPORTE[[#This Row],[Kg Exportados]]/REPORTE[[#This Row],[Ha]],"")</f>
        <v/>
      </c>
      <c r="AC9" s="55" t="str">
        <f>IFERROR(VLOOKUP(REPORTE[[#This Row],[Lote]],PROYECCION[],16,FALSE),"")</f>
        <v/>
      </c>
      <c r="AD9" s="64" t="s">
        <v>32</v>
      </c>
      <c r="AE9" s="2"/>
      <c r="AG9" s="2"/>
      <c r="AK9" s="2"/>
      <c r="AL9" s="2"/>
      <c r="AN9" s="2"/>
    </row>
    <row r="10" spans="1:40" ht="14.25" customHeight="1" x14ac:dyDescent="0.25">
      <c r="A10" s="42">
        <f t="shared" si="8"/>
        <v>13</v>
      </c>
      <c r="B10" s="42" t="str">
        <f>TEXT(REPORTE[[#This Row],[Fecha]],"MMMM")</f>
        <v>Marzo</v>
      </c>
      <c r="C10" s="42" t="str">
        <f>IFERROR(VLOOKUP(REPORTE[[#This Row],[Lote]],PROYECCION[],3,FALSE),"")</f>
        <v/>
      </c>
      <c r="D10" s="47" t="str">
        <f>IFERROR(VLOOKUP(REPORTE[[#This Row],[Lote]],PROYECCION[],2,FALSE),"")</f>
        <v/>
      </c>
      <c r="E10" s="55"/>
      <c r="F10" s="53" t="str">
        <f>IFERROR(VLOOKUP(REPORTE[[#This Row],[Lote]],PROYECCION[],5,FALSE),"")</f>
        <v/>
      </c>
      <c r="G10" s="42" t="str">
        <f>IFERROR(VLOOKUP(REPORTE[[#This Row],[Lote]],PROYECCION[],4,FALSE),"")</f>
        <v/>
      </c>
      <c r="H10" s="42" t="str">
        <f>IFERROR(VLOOKUP(REPORTE[[#This Row],[Lote]],PROYECCION[],6,FALSE),"")</f>
        <v/>
      </c>
      <c r="I10" s="96">
        <v>12</v>
      </c>
      <c r="J10" s="15">
        <f>SUM($S$2:$S$7)*REPORTE[[#This Row],[% Calibre]]</f>
        <v>9640</v>
      </c>
      <c r="K10" s="44">
        <v>0.40066500415627598</v>
      </c>
      <c r="L10" s="42"/>
      <c r="M10" s="47"/>
      <c r="N10" s="52">
        <v>45376</v>
      </c>
      <c r="O10" s="50"/>
      <c r="P10" s="48" t="str">
        <f t="shared" si="1"/>
        <v/>
      </c>
      <c r="Q10" s="56">
        <f t="shared" si="2"/>
        <v>0</v>
      </c>
      <c r="R10" s="63"/>
      <c r="S10" s="57">
        <f t="shared" si="3"/>
        <v>0</v>
      </c>
      <c r="T10" s="61"/>
      <c r="U10" s="58">
        <f t="shared" si="4"/>
        <v>0</v>
      </c>
      <c r="V10" s="61"/>
      <c r="W10" s="57">
        <f t="shared" si="5"/>
        <v>0</v>
      </c>
      <c r="X10" s="61"/>
      <c r="Y10" s="59"/>
      <c r="Z10" s="15">
        <f t="shared" si="6"/>
        <v>0</v>
      </c>
      <c r="AA10" s="15" t="str">
        <f t="shared" si="7"/>
        <v/>
      </c>
      <c r="AB10" s="58" t="str">
        <f>IFERROR(REPORTE[[#This Row],[Kg Exportados]]/REPORTE[[#This Row],[Ha]],"")</f>
        <v/>
      </c>
      <c r="AC10" s="55" t="str">
        <f>IFERROR(VLOOKUP(REPORTE[[#This Row],[Lote]],PROYECCION[],16,FALSE),"")</f>
        <v/>
      </c>
      <c r="AD10" s="64" t="s">
        <v>32</v>
      </c>
      <c r="AE10" s="2"/>
      <c r="AG10" s="2"/>
      <c r="AK10" s="2"/>
      <c r="AL10" s="2"/>
      <c r="AN10" s="2"/>
    </row>
    <row r="11" spans="1:40" ht="14.25" customHeight="1" x14ac:dyDescent="0.25">
      <c r="A11" s="42">
        <f t="shared" si="8"/>
        <v>13</v>
      </c>
      <c r="B11" s="42" t="str">
        <f>TEXT(REPORTE[[#This Row],[Fecha]],"MMMM")</f>
        <v>Marzo</v>
      </c>
      <c r="C11" s="42" t="str">
        <f>IFERROR(VLOOKUP(REPORTE[[#This Row],[Lote]],PROYECCION[],3,FALSE),"")</f>
        <v/>
      </c>
      <c r="D11" s="47" t="str">
        <f>IFERROR(VLOOKUP(REPORTE[[#This Row],[Lote]],PROYECCION[],2,FALSE),"")</f>
        <v/>
      </c>
      <c r="E11" s="55"/>
      <c r="F11" s="53" t="str">
        <f>IFERROR(VLOOKUP(REPORTE[[#This Row],[Lote]],PROYECCION[],5,FALSE),"")</f>
        <v/>
      </c>
      <c r="G11" s="42" t="str">
        <f>IFERROR(VLOOKUP(REPORTE[[#This Row],[Lote]],PROYECCION[],4,FALSE),"")</f>
        <v/>
      </c>
      <c r="H11" s="42" t="str">
        <f>IFERROR(VLOOKUP(REPORTE[[#This Row],[Lote]],PROYECCION[],6,FALSE),"")</f>
        <v/>
      </c>
      <c r="I11" s="96">
        <v>14</v>
      </c>
      <c r="J11" s="15">
        <f>SUM($S$2:$S$7)*REPORTE[[#This Row],[% Calibre]]</f>
        <v>10249.999999999985</v>
      </c>
      <c r="K11" s="44">
        <v>0.426018287614297</v>
      </c>
      <c r="L11" s="42"/>
      <c r="M11" s="47"/>
      <c r="N11" s="52">
        <v>45376</v>
      </c>
      <c r="O11" s="50"/>
      <c r="P11" s="48" t="str">
        <f t="shared" si="1"/>
        <v/>
      </c>
      <c r="Q11" s="56">
        <f t="shared" si="2"/>
        <v>0</v>
      </c>
      <c r="R11" s="63"/>
      <c r="S11" s="57">
        <f t="shared" si="3"/>
        <v>0</v>
      </c>
      <c r="T11" s="61"/>
      <c r="U11" s="58">
        <f t="shared" si="4"/>
        <v>0</v>
      </c>
      <c r="V11" s="61"/>
      <c r="W11" s="57">
        <f t="shared" si="5"/>
        <v>0</v>
      </c>
      <c r="X11" s="61"/>
      <c r="Y11" s="59"/>
      <c r="Z11" s="15">
        <f t="shared" si="6"/>
        <v>0</v>
      </c>
      <c r="AA11" s="15" t="str">
        <f t="shared" si="7"/>
        <v/>
      </c>
      <c r="AB11" s="58" t="str">
        <f>IFERROR(REPORTE[[#This Row],[Kg Exportados]]/REPORTE[[#This Row],[Ha]],"")</f>
        <v/>
      </c>
      <c r="AC11" s="55" t="str">
        <f>IFERROR(VLOOKUP(REPORTE[[#This Row],[Lote]],PROYECCION[],16,FALSE),"")</f>
        <v/>
      </c>
      <c r="AD11" s="64" t="s">
        <v>32</v>
      </c>
      <c r="AE11" s="2"/>
      <c r="AG11" s="2"/>
      <c r="AK11" s="2"/>
      <c r="AL11" s="2"/>
      <c r="AN11" s="2"/>
    </row>
    <row r="12" spans="1:40" ht="14.25" customHeight="1" x14ac:dyDescent="0.25">
      <c r="A12" s="42">
        <f t="shared" si="8"/>
        <v>13</v>
      </c>
      <c r="B12" s="42" t="str">
        <f>TEXT(REPORTE[[#This Row],[Fecha]],"MMMM")</f>
        <v>Marzo</v>
      </c>
      <c r="C12" s="42" t="str">
        <f>IFERROR(VLOOKUP(REPORTE[[#This Row],[Lote]],PROYECCION[],3,FALSE),"")</f>
        <v/>
      </c>
      <c r="D12" s="47" t="str">
        <f>IFERROR(VLOOKUP(REPORTE[[#This Row],[Lote]],PROYECCION[],2,FALSE),"")</f>
        <v/>
      </c>
      <c r="E12" s="55"/>
      <c r="F12" s="53" t="str">
        <f>IFERROR(VLOOKUP(REPORTE[[#This Row],[Lote]],PROYECCION[],5,FALSE),"")</f>
        <v/>
      </c>
      <c r="G12" s="42" t="str">
        <f>IFERROR(VLOOKUP(REPORTE[[#This Row],[Lote]],PROYECCION[],4,FALSE),"")</f>
        <v/>
      </c>
      <c r="H12" s="42" t="str">
        <f>IFERROR(VLOOKUP(REPORTE[[#This Row],[Lote]],PROYECCION[],6,FALSE),"")</f>
        <v/>
      </c>
      <c r="I12" s="96">
        <v>16</v>
      </c>
      <c r="J12" s="15">
        <f>SUM($S$2:$S$7)*REPORTE[[#This Row],[% Calibre]]</f>
        <v>1890.0000000000011</v>
      </c>
      <c r="K12" s="44">
        <v>7.8553615960099799E-2</v>
      </c>
      <c r="L12" s="42"/>
      <c r="M12" s="47"/>
      <c r="N12" s="52">
        <v>45376</v>
      </c>
      <c r="O12" s="50"/>
      <c r="P12" s="48" t="str">
        <f t="shared" si="1"/>
        <v/>
      </c>
      <c r="Q12" s="56">
        <f t="shared" si="2"/>
        <v>0</v>
      </c>
      <c r="R12" s="63"/>
      <c r="S12" s="57">
        <f t="shared" si="3"/>
        <v>0</v>
      </c>
      <c r="T12" s="61"/>
      <c r="U12" s="58">
        <f t="shared" si="4"/>
        <v>0</v>
      </c>
      <c r="V12" s="61"/>
      <c r="W12" s="57">
        <f t="shared" si="5"/>
        <v>0</v>
      </c>
      <c r="X12" s="61"/>
      <c r="Y12" s="59"/>
      <c r="Z12" s="15">
        <f t="shared" si="6"/>
        <v>0</v>
      </c>
      <c r="AA12" s="15" t="str">
        <f t="shared" si="7"/>
        <v/>
      </c>
      <c r="AB12" s="58" t="str">
        <f>IFERROR(REPORTE[[#This Row],[Kg Exportados]]/REPORTE[[#This Row],[Ha]],"")</f>
        <v/>
      </c>
      <c r="AC12" s="55" t="str">
        <f>IFERROR(VLOOKUP(REPORTE[[#This Row],[Lote]],PROYECCION[],16,FALSE),"")</f>
        <v/>
      </c>
      <c r="AD12" s="64" t="s">
        <v>32</v>
      </c>
      <c r="AE12" s="2"/>
      <c r="AG12" s="2"/>
      <c r="AK12" s="2"/>
      <c r="AL12" s="2"/>
      <c r="AN12" s="2"/>
    </row>
    <row r="13" spans="1:40" ht="14.25" customHeight="1" x14ac:dyDescent="0.25">
      <c r="A13" s="42">
        <f t="shared" si="8"/>
        <v>13</v>
      </c>
      <c r="B13" s="42" t="str">
        <f>TEXT(REPORTE[[#This Row],[Fecha]],"MMMM")</f>
        <v>Marzo</v>
      </c>
      <c r="C13" s="42" t="str">
        <f>IFERROR(VLOOKUP(REPORTE[[#This Row],[Lote]],PROYECCION[],3,FALSE),"")</f>
        <v/>
      </c>
      <c r="D13" s="47" t="str">
        <f>IFERROR(VLOOKUP(REPORTE[[#This Row],[Lote]],PROYECCION[],2,FALSE),"")</f>
        <v/>
      </c>
      <c r="E13" s="55"/>
      <c r="F13" s="53" t="str">
        <f>IFERROR(VLOOKUP(REPORTE[[#This Row],[Lote]],PROYECCION[],5,FALSE),"")</f>
        <v/>
      </c>
      <c r="G13" s="42" t="str">
        <f>IFERROR(VLOOKUP(REPORTE[[#This Row],[Lote]],PROYECCION[],4,FALSE),"")</f>
        <v/>
      </c>
      <c r="H13" s="42" t="str">
        <f>IFERROR(VLOOKUP(REPORTE[[#This Row],[Lote]],PROYECCION[],6,FALSE),"")</f>
        <v/>
      </c>
      <c r="I13" s="96">
        <v>20</v>
      </c>
      <c r="J13" s="15">
        <f>SUM($S$2:$S$7)*REPORTE[[#This Row],[% Calibre]]</f>
        <v>30.000000000001048</v>
      </c>
      <c r="K13" s="44">
        <v>1.2468827930174999E-3</v>
      </c>
      <c r="L13" s="42"/>
      <c r="M13" s="47"/>
      <c r="N13" s="52">
        <v>45376</v>
      </c>
      <c r="O13" s="50"/>
      <c r="P13" s="48" t="str">
        <f t="shared" si="1"/>
        <v/>
      </c>
      <c r="Q13" s="56">
        <f t="shared" si="2"/>
        <v>0</v>
      </c>
      <c r="R13" s="63"/>
      <c r="S13" s="57">
        <f t="shared" si="3"/>
        <v>0</v>
      </c>
      <c r="T13" s="61"/>
      <c r="U13" s="58">
        <f t="shared" si="4"/>
        <v>0</v>
      </c>
      <c r="V13" s="61"/>
      <c r="W13" s="57">
        <f t="shared" si="5"/>
        <v>0</v>
      </c>
      <c r="X13" s="61"/>
      <c r="Y13" s="59"/>
      <c r="Z13" s="15">
        <f t="shared" si="6"/>
        <v>0</v>
      </c>
      <c r="AA13" s="15" t="str">
        <f t="shared" si="7"/>
        <v/>
      </c>
      <c r="AB13" s="58" t="str">
        <f>IFERROR(REPORTE[[#This Row],[Kg Exportados]]/REPORTE[[#This Row],[Ha]],"")</f>
        <v/>
      </c>
      <c r="AC13" s="55" t="str">
        <f>IFERROR(VLOOKUP(REPORTE[[#This Row],[Lote]],PROYECCION[],16,FALSE),"")</f>
        <v/>
      </c>
      <c r="AD13" s="64" t="s">
        <v>32</v>
      </c>
      <c r="AE13" s="2"/>
      <c r="AG13" s="2"/>
      <c r="AK13" s="2"/>
      <c r="AL13" s="2"/>
      <c r="AN13" s="2"/>
    </row>
    <row r="14" spans="1:40" ht="14.25" customHeight="1" x14ac:dyDescent="0.25">
      <c r="A14" s="42">
        <f t="shared" si="8"/>
        <v>13</v>
      </c>
      <c r="B14" s="42" t="str">
        <f>TEXT(REPORTE[[#This Row],[Fecha]],"MMMM")</f>
        <v>Marzo</v>
      </c>
      <c r="C14" s="42" t="str">
        <f>IFERROR(VLOOKUP(REPORTE[[#This Row],[Lote]],PROYECCION[],3,FALSE),"")</f>
        <v/>
      </c>
      <c r="D14" s="47" t="str">
        <f>IFERROR(VLOOKUP(REPORTE[[#This Row],[Lote]],PROYECCION[],2,FALSE),"")</f>
        <v/>
      </c>
      <c r="E14" s="55"/>
      <c r="F14" s="53" t="str">
        <f>IFERROR(VLOOKUP(REPORTE[[#This Row],[Lote]],PROYECCION[],5,FALSE),"")</f>
        <v/>
      </c>
      <c r="G14" s="42" t="str">
        <f>IFERROR(VLOOKUP(REPORTE[[#This Row],[Lote]],PROYECCION[],4,FALSE),"")</f>
        <v/>
      </c>
      <c r="H14" s="42" t="str">
        <f>IFERROR(VLOOKUP(REPORTE[[#This Row],[Lote]],PROYECCION[],6,FALSE),"")</f>
        <v/>
      </c>
      <c r="I14" s="96">
        <v>24</v>
      </c>
      <c r="J14" s="15">
        <f>SUM($S$2:$S$7)*REPORTE[[#This Row],[% Calibre]]</f>
        <v>30.000000000001048</v>
      </c>
      <c r="K14" s="44">
        <v>1.2468827930174999E-3</v>
      </c>
      <c r="L14" s="42"/>
      <c r="M14" s="47"/>
      <c r="N14" s="52">
        <v>45376</v>
      </c>
      <c r="O14" s="50"/>
      <c r="P14" s="48" t="str">
        <f t="shared" si="1"/>
        <v/>
      </c>
      <c r="Q14" s="56">
        <f t="shared" si="2"/>
        <v>0</v>
      </c>
      <c r="R14" s="63"/>
      <c r="S14" s="57">
        <f t="shared" si="3"/>
        <v>0</v>
      </c>
      <c r="T14" s="61"/>
      <c r="U14" s="58">
        <f t="shared" si="4"/>
        <v>0</v>
      </c>
      <c r="V14" s="61"/>
      <c r="W14" s="57">
        <f t="shared" si="5"/>
        <v>0</v>
      </c>
      <c r="X14" s="61"/>
      <c r="Y14" s="59"/>
      <c r="Z14" s="15">
        <f t="shared" si="6"/>
        <v>0</v>
      </c>
      <c r="AA14" s="15" t="str">
        <f t="shared" si="7"/>
        <v/>
      </c>
      <c r="AB14" s="58" t="str">
        <f>IFERROR(REPORTE[[#This Row],[Kg Exportados]]/REPORTE[[#This Row],[Ha]],"")</f>
        <v/>
      </c>
      <c r="AC14" s="55" t="str">
        <f>IFERROR(VLOOKUP(REPORTE[[#This Row],[Lote]],PROYECCION[],16,FALSE),"")</f>
        <v/>
      </c>
      <c r="AD14" s="64" t="s">
        <v>32</v>
      </c>
      <c r="AE14" s="2"/>
      <c r="AG14" s="2"/>
      <c r="AK14" s="2"/>
      <c r="AL14" s="2"/>
      <c r="AN14" s="2"/>
    </row>
    <row r="15" spans="1:40" ht="14.25" customHeight="1" x14ac:dyDescent="0.25">
      <c r="A15" s="42">
        <f t="shared" si="8"/>
        <v>13</v>
      </c>
      <c r="B15" s="42" t="str">
        <f>TEXT(REPORTE[[#This Row],[Fecha]],"MMMM")</f>
        <v>Marzo</v>
      </c>
      <c r="C15" s="42" t="str">
        <f>IFERROR(VLOOKUP(REPORTE[[#This Row],[Lote]],PROYECCION[],3,FALSE),"")</f>
        <v>Cuatro Vientos</v>
      </c>
      <c r="D15" s="47" t="str">
        <f>IFERROR(VLOOKUP(REPORTE[[#This Row],[Lote]],PROYECCION[],2,FALSE),"")</f>
        <v>Agricola Guili S.A.C</v>
      </c>
      <c r="E15" s="55" t="s">
        <v>39</v>
      </c>
      <c r="F15" s="53">
        <f>IFERROR(VLOOKUP(REPORTE[[#This Row],[Lote]],PROYECCION[],5,FALSE),"")</f>
        <v>7.3508403361344534</v>
      </c>
      <c r="G15" s="42" t="str">
        <f>IFERROR(VLOOKUP(REPORTE[[#This Row],[Lote]],PROYECCION[],4,FALSE),"")</f>
        <v>Hass</v>
      </c>
      <c r="H15" s="42" t="str">
        <f>IFERROR(VLOOKUP(REPORTE[[#This Row],[Lote]],PROYECCION[],6,FALSE),"")</f>
        <v>Negra</v>
      </c>
      <c r="I15" s="96"/>
      <c r="J15" s="15"/>
      <c r="K15" s="44"/>
      <c r="L15" s="42" t="s">
        <v>73</v>
      </c>
      <c r="M15" s="47" t="s">
        <v>71</v>
      </c>
      <c r="N15" s="52">
        <v>45377</v>
      </c>
      <c r="O15" s="50">
        <v>7</v>
      </c>
      <c r="P15" s="48">
        <f t="shared" si="1"/>
        <v>416.97428571428571</v>
      </c>
      <c r="Q15" s="56">
        <f t="shared" si="2"/>
        <v>277.03761679479578</v>
      </c>
      <c r="R15" s="63">
        <v>2918.82</v>
      </c>
      <c r="S15" s="57">
        <f t="shared" si="3"/>
        <v>2770.3761679479576</v>
      </c>
      <c r="T15" s="61">
        <v>0.94914251921939596</v>
      </c>
      <c r="U15" s="58">
        <f t="shared" si="4"/>
        <v>46.419520571090636</v>
      </c>
      <c r="V15" s="61">
        <v>1.5903522852074001E-2</v>
      </c>
      <c r="W15" s="57">
        <f t="shared" si="5"/>
        <v>102.02431148094961</v>
      </c>
      <c r="X15" s="61">
        <v>3.4953957928529199E-2</v>
      </c>
      <c r="Y15" s="59"/>
      <c r="Z15" s="15">
        <f t="shared" si="6"/>
        <v>2918.82</v>
      </c>
      <c r="AA15" s="15">
        <f t="shared" si="7"/>
        <v>397.07296941983429</v>
      </c>
      <c r="AB15" s="58">
        <f>IFERROR(REPORTE[[#This Row],[Kg Exportados]]/REPORTE[[#This Row],[Ha]],"")</f>
        <v>376.87883850906769</v>
      </c>
      <c r="AC15" s="55" t="str">
        <f>IFERROR(VLOOKUP(REPORTE[[#This Row],[Lote]],PROYECCION[],16,FALSE),"")</f>
        <v>Cosechando</v>
      </c>
      <c r="AD15" s="64" t="s">
        <v>32</v>
      </c>
      <c r="AE15" s="2"/>
      <c r="AG15" s="2"/>
      <c r="AK15" s="2"/>
      <c r="AL15" s="2"/>
      <c r="AN15" s="2"/>
    </row>
    <row r="16" spans="1:40" ht="14.25" customHeight="1" x14ac:dyDescent="0.25">
      <c r="A16" s="42">
        <f t="shared" ref="A16:A22" si="9">WEEKNUM(N16)</f>
        <v>13</v>
      </c>
      <c r="B16" s="42" t="str">
        <f>TEXT(REPORTE[[#This Row],[Fecha]],"MMMM")</f>
        <v>Marzo</v>
      </c>
      <c r="C16" s="42" t="str">
        <f>IFERROR(VLOOKUP(REPORTE[[#This Row],[Lote]],PROYECCION[],3,FALSE),"")</f>
        <v>Cuatro Vientos</v>
      </c>
      <c r="D16" s="47" t="str">
        <f>IFERROR(VLOOKUP(REPORTE[[#This Row],[Lote]],PROYECCION[],2,FALSE),"")</f>
        <v>Agricola Guili S.A.C</v>
      </c>
      <c r="E16" s="55" t="s">
        <v>35</v>
      </c>
      <c r="F16" s="53">
        <f>IFERROR(VLOOKUP(REPORTE[[#This Row],[Lote]],PROYECCION[],5,FALSE),"")</f>
        <v>9.5714285714285712</v>
      </c>
      <c r="G16" s="42" t="str">
        <f>IFERROR(VLOOKUP(REPORTE[[#This Row],[Lote]],PROYECCION[],4,FALSE),"")</f>
        <v>Hass</v>
      </c>
      <c r="H16" s="42" t="str">
        <f>IFERROR(VLOOKUP(REPORTE[[#This Row],[Lote]],PROYECCION[],6,FALSE),"")</f>
        <v>Negra</v>
      </c>
      <c r="I16" s="96"/>
      <c r="J16" s="15"/>
      <c r="K16" s="44"/>
      <c r="L16" s="42" t="s">
        <v>73</v>
      </c>
      <c r="M16" s="47" t="s">
        <v>71</v>
      </c>
      <c r="N16" s="52">
        <v>45377</v>
      </c>
      <c r="O16" s="50">
        <v>1</v>
      </c>
      <c r="P16" s="48">
        <f t="shared" ref="P16:P22" si="10">IFERROR((+R16/O16),"")</f>
        <v>416.97</v>
      </c>
      <c r="Q16" s="56">
        <f t="shared" ref="Q16:Q22" si="11">+S16/10</f>
        <v>39.576395623891152</v>
      </c>
      <c r="R16" s="63">
        <v>416.97</v>
      </c>
      <c r="S16" s="57">
        <f t="shared" ref="S16:S22" si="12">+R16*T16</f>
        <v>395.76395623891153</v>
      </c>
      <c r="T16" s="61">
        <v>0.94914251921939596</v>
      </c>
      <c r="U16" s="58">
        <f t="shared" ref="U16:U22" si="13">R16*V16</f>
        <v>6.6312919236292966</v>
      </c>
      <c r="V16" s="61">
        <v>1.5903522852074001E-2</v>
      </c>
      <c r="W16" s="57">
        <f t="shared" ref="W16:W22" si="14">R16*X16</f>
        <v>14.574751837458821</v>
      </c>
      <c r="X16" s="61">
        <v>3.4953957928529199E-2</v>
      </c>
      <c r="Y16" s="59"/>
      <c r="Z16" s="15">
        <f t="shared" ref="Z16:Z22" si="15">R16+Y16</f>
        <v>416.97</v>
      </c>
      <c r="AA16" s="15">
        <f t="shared" ref="AA16:AA22" si="16">IFERROR((Z16/F16),"")</f>
        <v>43.564029850746273</v>
      </c>
      <c r="AB16" s="58">
        <f>IFERROR(REPORTE[[#This Row],[Kg Exportados]]/REPORTE[[#This Row],[Ha]],"")</f>
        <v>41.348473039886279</v>
      </c>
      <c r="AC16" s="55" t="str">
        <f>IFERROR(VLOOKUP(REPORTE[[#This Row],[Lote]],PROYECCION[],16,FALSE),"")</f>
        <v>Cosechando</v>
      </c>
      <c r="AD16" s="64" t="s">
        <v>32</v>
      </c>
      <c r="AE16" s="2"/>
      <c r="AG16" s="2"/>
      <c r="AK16" s="2"/>
      <c r="AL16" s="2"/>
      <c r="AN16" s="2"/>
    </row>
    <row r="17" spans="1:40" ht="14.25" customHeight="1" x14ac:dyDescent="0.25">
      <c r="A17" s="42">
        <f t="shared" si="9"/>
        <v>13</v>
      </c>
      <c r="B17" s="42" t="str">
        <f>TEXT(REPORTE[[#This Row],[Fecha]],"MMMM")</f>
        <v>Marzo</v>
      </c>
      <c r="C17" s="42" t="str">
        <f>IFERROR(VLOOKUP(REPORTE[[#This Row],[Lote]],PROYECCION[],3,FALSE),"")</f>
        <v>Cuatro Vientos</v>
      </c>
      <c r="D17" s="47" t="str">
        <f>IFERROR(VLOOKUP(REPORTE[[#This Row],[Lote]],PROYECCION[],2,FALSE),"")</f>
        <v>Agricola Guili S.A.C</v>
      </c>
      <c r="E17" s="55" t="s">
        <v>34</v>
      </c>
      <c r="F17" s="53">
        <f>IFERROR(VLOOKUP(REPORTE[[#This Row],[Lote]],PROYECCION[],5,FALSE),"")</f>
        <v>9.1638655462184868</v>
      </c>
      <c r="G17" s="42" t="str">
        <f>IFERROR(VLOOKUP(REPORTE[[#This Row],[Lote]],PROYECCION[],4,FALSE),"")</f>
        <v>Hass</v>
      </c>
      <c r="H17" s="42" t="str">
        <f>IFERROR(VLOOKUP(REPORTE[[#This Row],[Lote]],PROYECCION[],6,FALSE),"")</f>
        <v>Negra</v>
      </c>
      <c r="I17" s="96"/>
      <c r="J17" s="15"/>
      <c r="K17" s="44"/>
      <c r="L17" s="42" t="s">
        <v>73</v>
      </c>
      <c r="M17" s="47" t="s">
        <v>71</v>
      </c>
      <c r="N17" s="52">
        <v>45377</v>
      </c>
      <c r="O17" s="50">
        <v>6</v>
      </c>
      <c r="P17" s="48">
        <f t="shared" si="10"/>
        <v>416.97499999999997</v>
      </c>
      <c r="Q17" s="56">
        <f t="shared" si="11"/>
        <v>237.46122117090459</v>
      </c>
      <c r="R17" s="63">
        <v>2501.85</v>
      </c>
      <c r="S17" s="57">
        <f t="shared" si="12"/>
        <v>2374.6122117090458</v>
      </c>
      <c r="T17" s="61">
        <v>0.94914251921939596</v>
      </c>
      <c r="U17" s="58">
        <f t="shared" si="13"/>
        <v>39.788228647461338</v>
      </c>
      <c r="V17" s="61">
        <v>1.5903522852074001E-2</v>
      </c>
      <c r="W17" s="57">
        <f t="shared" si="14"/>
        <v>87.449559643490772</v>
      </c>
      <c r="X17" s="61">
        <v>3.4953957928529199E-2</v>
      </c>
      <c r="Y17" s="59"/>
      <c r="Z17" s="15">
        <f t="shared" si="15"/>
        <v>2501.85</v>
      </c>
      <c r="AA17" s="15">
        <f t="shared" si="16"/>
        <v>273.01251719394776</v>
      </c>
      <c r="AB17" s="58">
        <f>IFERROR(REPORTE[[#This Row],[Kg Exportados]]/REPORTE[[#This Row],[Ha]],"")</f>
        <v>259.12778834789225</v>
      </c>
      <c r="AC17" s="55" t="str">
        <f>IFERROR(VLOOKUP(REPORTE[[#This Row],[Lote]],PROYECCION[],16,FALSE),"")</f>
        <v>Cosechando</v>
      </c>
      <c r="AD17" s="64" t="s">
        <v>32</v>
      </c>
      <c r="AE17" s="2"/>
      <c r="AG17" s="2"/>
      <c r="AK17" s="2"/>
      <c r="AL17" s="2"/>
      <c r="AN17" s="2"/>
    </row>
    <row r="18" spans="1:40" ht="14.25" customHeight="1" x14ac:dyDescent="0.25">
      <c r="A18" s="42">
        <f t="shared" si="9"/>
        <v>13</v>
      </c>
      <c r="B18" s="42" t="str">
        <f>TEXT(REPORTE[[#This Row],[Fecha]],"MMMM")</f>
        <v>Marzo</v>
      </c>
      <c r="C18" s="42" t="str">
        <f>IFERROR(VLOOKUP(REPORTE[[#This Row],[Lote]],PROYECCION[],3,FALSE),"")</f>
        <v>Cuatro Vientos</v>
      </c>
      <c r="D18" s="47" t="str">
        <f>IFERROR(VLOOKUP(REPORTE[[#This Row],[Lote]],PROYECCION[],2,FALSE),"")</f>
        <v>Agricola Guili S.A.C</v>
      </c>
      <c r="E18" s="55" t="s">
        <v>20</v>
      </c>
      <c r="F18" s="53">
        <f>IFERROR(VLOOKUP(REPORTE[[#This Row],[Lote]],PROYECCION[],5,FALSE),"")</f>
        <v>8.052521008403362</v>
      </c>
      <c r="G18" s="42" t="str">
        <f>IFERROR(VLOOKUP(REPORTE[[#This Row],[Lote]],PROYECCION[],4,FALSE),"")</f>
        <v>Hass</v>
      </c>
      <c r="H18" s="42" t="str">
        <f>IFERROR(VLOOKUP(REPORTE[[#This Row],[Lote]],PROYECCION[],6,FALSE),"")</f>
        <v>Negra</v>
      </c>
      <c r="I18" s="96"/>
      <c r="J18" s="15"/>
      <c r="K18" s="44"/>
      <c r="L18" s="42" t="s">
        <v>73</v>
      </c>
      <c r="M18" s="47" t="s">
        <v>71</v>
      </c>
      <c r="N18" s="52">
        <v>45377</v>
      </c>
      <c r="O18" s="50">
        <v>5</v>
      </c>
      <c r="P18" s="48">
        <f t="shared" si="10"/>
        <v>416.97399999999999</v>
      </c>
      <c r="Q18" s="56">
        <f t="shared" si="11"/>
        <v>197.88387640449417</v>
      </c>
      <c r="R18" s="63">
        <v>2084.87</v>
      </c>
      <c r="S18" s="57">
        <f t="shared" si="12"/>
        <v>1978.8387640449419</v>
      </c>
      <c r="T18" s="61">
        <v>0.94914251921939596</v>
      </c>
      <c r="U18" s="58">
        <f t="shared" si="13"/>
        <v>33.156777688603519</v>
      </c>
      <c r="V18" s="61">
        <v>1.5903522852074001E-2</v>
      </c>
      <c r="W18" s="57">
        <f t="shared" si="14"/>
        <v>72.874458266452663</v>
      </c>
      <c r="X18" s="61">
        <v>3.4953957928529199E-2</v>
      </c>
      <c r="Y18" s="59"/>
      <c r="Z18" s="15">
        <f t="shared" si="15"/>
        <v>2084.87</v>
      </c>
      <c r="AA18" s="15">
        <f t="shared" si="16"/>
        <v>258.90897991129663</v>
      </c>
      <c r="AB18" s="58">
        <f>IFERROR(REPORTE[[#This Row],[Kg Exportados]]/REPORTE[[#This Row],[Ha]],"")</f>
        <v>245.74152144153203</v>
      </c>
      <c r="AC18" s="55" t="str">
        <f>IFERROR(VLOOKUP(REPORTE[[#This Row],[Lote]],PROYECCION[],16,FALSE),"")</f>
        <v>Cosechando</v>
      </c>
      <c r="AD18" s="64" t="s">
        <v>32</v>
      </c>
      <c r="AE18" s="2"/>
      <c r="AG18" s="2"/>
      <c r="AK18" s="2"/>
      <c r="AL18" s="2"/>
      <c r="AN18" s="2"/>
    </row>
    <row r="19" spans="1:40" ht="14.25" customHeight="1" x14ac:dyDescent="0.25">
      <c r="A19" s="42">
        <f t="shared" si="9"/>
        <v>13</v>
      </c>
      <c r="B19" s="42" t="str">
        <f>TEXT(REPORTE[[#This Row],[Fecha]],"MMMM")</f>
        <v>Marzo</v>
      </c>
      <c r="C19" s="42" t="str">
        <f>IFERROR(VLOOKUP(REPORTE[[#This Row],[Lote]],PROYECCION[],3,FALSE),"")</f>
        <v>Cuatro Vientos</v>
      </c>
      <c r="D19" s="47" t="str">
        <f>IFERROR(VLOOKUP(REPORTE[[#This Row],[Lote]],PROYECCION[],2,FALSE),"")</f>
        <v>Agricola Guili S.A.C</v>
      </c>
      <c r="E19" s="55" t="s">
        <v>22</v>
      </c>
      <c r="F19" s="53">
        <f>IFERROR(VLOOKUP(REPORTE[[#This Row],[Lote]],PROYECCION[],5,FALSE),"")</f>
        <v>9.6197478991596643</v>
      </c>
      <c r="G19" s="42" t="str">
        <f>IFERROR(VLOOKUP(REPORTE[[#This Row],[Lote]],PROYECCION[],4,FALSE),"")</f>
        <v>Hass</v>
      </c>
      <c r="H19" s="42" t="str">
        <f>IFERROR(VLOOKUP(REPORTE[[#This Row],[Lote]],PROYECCION[],6,FALSE),"")</f>
        <v>Negra</v>
      </c>
      <c r="I19" s="96"/>
      <c r="J19" s="15"/>
      <c r="K19" s="44"/>
      <c r="L19" s="42" t="s">
        <v>73</v>
      </c>
      <c r="M19" s="47" t="s">
        <v>71</v>
      </c>
      <c r="N19" s="52">
        <v>45377</v>
      </c>
      <c r="O19" s="50">
        <v>8</v>
      </c>
      <c r="P19" s="48">
        <f t="shared" si="10"/>
        <v>416.97500000000002</v>
      </c>
      <c r="Q19" s="56">
        <f t="shared" si="11"/>
        <v>316.61496156120609</v>
      </c>
      <c r="R19" s="63">
        <v>3335.8</v>
      </c>
      <c r="S19" s="57">
        <f t="shared" si="12"/>
        <v>3166.1496156120611</v>
      </c>
      <c r="T19" s="61">
        <v>0.94914251921939596</v>
      </c>
      <c r="U19" s="58">
        <f t="shared" si="13"/>
        <v>53.050971529948455</v>
      </c>
      <c r="V19" s="61">
        <v>1.5903522852074001E-2</v>
      </c>
      <c r="W19" s="57">
        <f t="shared" si="14"/>
        <v>116.5994128579877</v>
      </c>
      <c r="X19" s="61">
        <v>3.4953957928529199E-2</v>
      </c>
      <c r="Y19" s="59"/>
      <c r="Z19" s="15">
        <f t="shared" si="15"/>
        <v>3335.8</v>
      </c>
      <c r="AA19" s="15">
        <f t="shared" si="16"/>
        <v>346.76584407075779</v>
      </c>
      <c r="AB19" s="58">
        <f>IFERROR(REPORTE[[#This Row],[Kg Exportados]]/REPORTE[[#This Row],[Ha]],"")</f>
        <v>329.13020682055929</v>
      </c>
      <c r="AC19" s="55" t="str">
        <f>IFERROR(VLOOKUP(REPORTE[[#This Row],[Lote]],PROYECCION[],16,FALSE),"")</f>
        <v>Cosechando</v>
      </c>
      <c r="AD19" s="64" t="s">
        <v>32</v>
      </c>
      <c r="AE19" s="2"/>
      <c r="AG19" s="2"/>
      <c r="AK19" s="2"/>
      <c r="AL19" s="2"/>
      <c r="AN19" s="2"/>
    </row>
    <row r="20" spans="1:40" ht="14.25" customHeight="1" x14ac:dyDescent="0.25">
      <c r="A20" s="42">
        <f t="shared" si="9"/>
        <v>13</v>
      </c>
      <c r="B20" s="42" t="str">
        <f>TEXT(REPORTE[[#This Row],[Fecha]],"MMMM")</f>
        <v>Marzo</v>
      </c>
      <c r="C20" s="42" t="str">
        <f>IFERROR(VLOOKUP(REPORTE[[#This Row],[Lote]],PROYECCION[],3,FALSE),"")</f>
        <v>Cuatro Vientos</v>
      </c>
      <c r="D20" s="47" t="str">
        <f>IFERROR(VLOOKUP(REPORTE[[#This Row],[Lote]],PROYECCION[],2,FALSE),"")</f>
        <v>Agricola Guili S.A.C</v>
      </c>
      <c r="E20" s="55" t="s">
        <v>21</v>
      </c>
      <c r="F20" s="53">
        <f>IFERROR(VLOOKUP(REPORTE[[#This Row],[Lote]],PROYECCION[],5,FALSE),"")</f>
        <v>9.7710084033613445</v>
      </c>
      <c r="G20" s="42" t="str">
        <f>IFERROR(VLOOKUP(REPORTE[[#This Row],[Lote]],PROYECCION[],4,FALSE),"")</f>
        <v>Hass</v>
      </c>
      <c r="H20" s="42" t="str">
        <f>IFERROR(VLOOKUP(REPORTE[[#This Row],[Lote]],PROYECCION[],6,FALSE),"")</f>
        <v>Negra</v>
      </c>
      <c r="I20" s="96"/>
      <c r="J20" s="15"/>
      <c r="K20" s="44"/>
      <c r="L20" s="42" t="s">
        <v>73</v>
      </c>
      <c r="M20" s="47" t="s">
        <v>71</v>
      </c>
      <c r="N20" s="52">
        <v>45377</v>
      </c>
      <c r="O20" s="50">
        <v>3</v>
      </c>
      <c r="P20" s="48">
        <f t="shared" si="10"/>
        <v>416.97333333333336</v>
      </c>
      <c r="Q20" s="56">
        <f t="shared" si="11"/>
        <v>118.73013601419268</v>
      </c>
      <c r="R20" s="63">
        <v>1250.92</v>
      </c>
      <c r="S20" s="57">
        <f t="shared" si="12"/>
        <v>1187.3013601419268</v>
      </c>
      <c r="T20" s="61">
        <v>0.94914251921939596</v>
      </c>
      <c r="U20" s="58">
        <f t="shared" si="13"/>
        <v>19.894034806116412</v>
      </c>
      <c r="V20" s="61">
        <v>1.5903522852074001E-2</v>
      </c>
      <c r="W20" s="57">
        <f t="shared" si="14"/>
        <v>43.724605051955749</v>
      </c>
      <c r="X20" s="61">
        <v>3.4953957928529199E-2</v>
      </c>
      <c r="Y20" s="59"/>
      <c r="Z20" s="15">
        <f t="shared" si="15"/>
        <v>1250.92</v>
      </c>
      <c r="AA20" s="15">
        <f t="shared" si="16"/>
        <v>128.02363362717696</v>
      </c>
      <c r="AB20" s="58">
        <f>IFERROR(REPORTE[[#This Row],[Kg Exportados]]/REPORTE[[#This Row],[Ha]],"")</f>
        <v>121.51267414051971</v>
      </c>
      <c r="AC20" s="55" t="str">
        <f>IFERROR(VLOOKUP(REPORTE[[#This Row],[Lote]],PROYECCION[],16,FALSE),"")</f>
        <v>Cosechando</v>
      </c>
      <c r="AD20" s="64" t="s">
        <v>32</v>
      </c>
      <c r="AE20" s="2"/>
      <c r="AG20" s="2"/>
      <c r="AK20" s="2"/>
      <c r="AL20" s="2"/>
      <c r="AN20" s="2"/>
    </row>
    <row r="21" spans="1:40" ht="14.25" customHeight="1" x14ac:dyDescent="0.25">
      <c r="A21" s="42">
        <f t="shared" si="9"/>
        <v>13</v>
      </c>
      <c r="B21" s="42" t="str">
        <f>TEXT(REPORTE[[#This Row],[Fecha]],"MMMM")</f>
        <v>Marzo</v>
      </c>
      <c r="C21" s="42" t="str">
        <f>IFERROR(VLOOKUP(REPORTE[[#This Row],[Lote]],PROYECCION[],3,FALSE),"")</f>
        <v>Cuatro Vientos</v>
      </c>
      <c r="D21" s="47" t="str">
        <f>IFERROR(VLOOKUP(REPORTE[[#This Row],[Lote]],PROYECCION[],2,FALSE),"")</f>
        <v>Agricola Guili S.A.C</v>
      </c>
      <c r="E21" s="55" t="s">
        <v>26</v>
      </c>
      <c r="F21" s="53">
        <f>IFERROR(VLOOKUP(REPORTE[[#This Row],[Lote]],PROYECCION[],5,FALSE),"")</f>
        <v>7.2731092436974789</v>
      </c>
      <c r="G21" s="42" t="str">
        <f>IFERROR(VLOOKUP(REPORTE[[#This Row],[Lote]],PROYECCION[],4,FALSE),"")</f>
        <v>Hass</v>
      </c>
      <c r="H21" s="42" t="str">
        <f>IFERROR(VLOOKUP(REPORTE[[#This Row],[Lote]],PROYECCION[],6,FALSE),"")</f>
        <v>Negra</v>
      </c>
      <c r="I21" s="96"/>
      <c r="J21" s="15"/>
      <c r="K21" s="44"/>
      <c r="L21" s="42" t="s">
        <v>73</v>
      </c>
      <c r="M21" s="47" t="s">
        <v>71</v>
      </c>
      <c r="N21" s="52">
        <v>45377</v>
      </c>
      <c r="O21" s="50">
        <v>5</v>
      </c>
      <c r="P21" s="48">
        <f t="shared" si="10"/>
        <v>416.97399999999999</v>
      </c>
      <c r="Q21" s="56">
        <f t="shared" si="11"/>
        <v>197.88387640449417</v>
      </c>
      <c r="R21" s="63">
        <v>2084.87</v>
      </c>
      <c r="S21" s="57">
        <f t="shared" si="12"/>
        <v>1978.8387640449419</v>
      </c>
      <c r="T21" s="61">
        <v>0.94914251921939596</v>
      </c>
      <c r="U21" s="58">
        <f t="shared" si="13"/>
        <v>33.156777688603519</v>
      </c>
      <c r="V21" s="61">
        <v>1.5903522852074001E-2</v>
      </c>
      <c r="W21" s="57">
        <f t="shared" si="14"/>
        <v>72.874458266452663</v>
      </c>
      <c r="X21" s="61">
        <v>3.4953957928529199E-2</v>
      </c>
      <c r="Y21" s="59"/>
      <c r="Z21" s="15">
        <f t="shared" si="15"/>
        <v>2084.87</v>
      </c>
      <c r="AA21" s="15">
        <f t="shared" si="16"/>
        <v>286.65456961294046</v>
      </c>
      <c r="AB21" s="58">
        <f>IFERROR(REPORTE[[#This Row],[Kg Exportados]]/REPORTE[[#This Row],[Ha]],"")</f>
        <v>272.07604034817803</v>
      </c>
      <c r="AC21" s="55" t="str">
        <f>IFERROR(VLOOKUP(REPORTE[[#This Row],[Lote]],PROYECCION[],16,FALSE),"")</f>
        <v>Cosechando</v>
      </c>
      <c r="AD21" s="64" t="s">
        <v>32</v>
      </c>
      <c r="AE21" s="2"/>
      <c r="AG21" s="2"/>
      <c r="AK21" s="2"/>
      <c r="AL21" s="2"/>
      <c r="AN21" s="2"/>
    </row>
    <row r="22" spans="1:40" ht="14.25" customHeight="1" x14ac:dyDescent="0.25">
      <c r="A22" s="42">
        <f t="shared" si="9"/>
        <v>13</v>
      </c>
      <c r="B22" s="42" t="str">
        <f>TEXT(REPORTE[[#This Row],[Fecha]],"MMMM")</f>
        <v>Marzo</v>
      </c>
      <c r="C22" s="42" t="str">
        <f>IFERROR(VLOOKUP(REPORTE[[#This Row],[Lote]],PROYECCION[],3,FALSE),"")</f>
        <v>Cuatro Vientos</v>
      </c>
      <c r="D22" s="47" t="str">
        <f>IFERROR(VLOOKUP(REPORTE[[#This Row],[Lote]],PROYECCION[],2,FALSE),"")</f>
        <v>Agricola Guili S.A.C</v>
      </c>
      <c r="E22" s="55" t="s">
        <v>28</v>
      </c>
      <c r="F22" s="53">
        <f>IFERROR(VLOOKUP(REPORTE[[#This Row],[Lote]],PROYECCION[],5,FALSE),"")</f>
        <v>8.2373949579831933</v>
      </c>
      <c r="G22" s="42" t="str">
        <f>IFERROR(VLOOKUP(REPORTE[[#This Row],[Lote]],PROYECCION[],4,FALSE),"")</f>
        <v>Hass</v>
      </c>
      <c r="H22" s="42" t="str">
        <f>IFERROR(VLOOKUP(REPORTE[[#This Row],[Lote]],PROYECCION[],6,FALSE),"")</f>
        <v>Negra</v>
      </c>
      <c r="I22" s="96"/>
      <c r="J22" s="15"/>
      <c r="K22" s="44"/>
      <c r="L22" s="42" t="s">
        <v>73</v>
      </c>
      <c r="M22" s="47" t="s">
        <v>71</v>
      </c>
      <c r="N22" s="52">
        <v>45377</v>
      </c>
      <c r="O22" s="50">
        <v>4</v>
      </c>
      <c r="P22" s="48">
        <f t="shared" si="10"/>
        <v>416.97500000000002</v>
      </c>
      <c r="Q22" s="56">
        <f t="shared" si="11"/>
        <v>158.30748078060304</v>
      </c>
      <c r="R22" s="63">
        <v>1667.9</v>
      </c>
      <c r="S22" s="57">
        <f t="shared" si="12"/>
        <v>1583.0748078060305</v>
      </c>
      <c r="T22" s="61">
        <v>0.94914251921939596</v>
      </c>
      <c r="U22" s="58">
        <f t="shared" si="13"/>
        <v>26.525485764974228</v>
      </c>
      <c r="V22" s="61">
        <v>1.5903522852074001E-2</v>
      </c>
      <c r="W22" s="57">
        <f t="shared" si="14"/>
        <v>58.299706428993851</v>
      </c>
      <c r="X22" s="61">
        <v>3.4953957928529199E-2</v>
      </c>
      <c r="Y22" s="59"/>
      <c r="Z22" s="15">
        <f t="shared" si="15"/>
        <v>1667.9</v>
      </c>
      <c r="AA22" s="15">
        <f t="shared" si="16"/>
        <v>202.47906146391227</v>
      </c>
      <c r="AB22" s="58">
        <f>IFERROR(REPORTE[[#This Row],[Kg Exportados]]/REPORTE[[#This Row],[Ha]],"")</f>
        <v>192.18148648703661</v>
      </c>
      <c r="AC22" s="55" t="str">
        <f>IFERROR(VLOOKUP(REPORTE[[#This Row],[Lote]],PROYECCION[],16,FALSE),"")</f>
        <v>Cosechando</v>
      </c>
      <c r="AD22" s="64" t="s">
        <v>32</v>
      </c>
      <c r="AE22" s="2"/>
      <c r="AG22" s="2"/>
      <c r="AK22" s="2"/>
      <c r="AL22" s="2"/>
      <c r="AN22" s="2"/>
    </row>
    <row r="23" spans="1:40" ht="14.25" customHeight="1" x14ac:dyDescent="0.25">
      <c r="A23" s="42">
        <f t="shared" si="8"/>
        <v>13</v>
      </c>
      <c r="B23" s="42" t="str">
        <f>TEXT(REPORTE[[#This Row],[Fecha]],"MMMM")</f>
        <v>Marzo</v>
      </c>
      <c r="C23" s="42" t="str">
        <f>IFERROR(VLOOKUP(REPORTE[[#This Row],[Lote]],PROYECCION[],3,FALSE),"")</f>
        <v/>
      </c>
      <c r="D23" s="47" t="str">
        <f>IFERROR(VLOOKUP(REPORTE[[#This Row],[Lote]],PROYECCION[],2,FALSE),"")</f>
        <v/>
      </c>
      <c r="E23" s="55"/>
      <c r="F23" s="53" t="str">
        <f>IFERROR(VLOOKUP(REPORTE[[#This Row],[Lote]],PROYECCION[],5,FALSE),"")</f>
        <v/>
      </c>
      <c r="G23" s="42" t="str">
        <f>IFERROR(VLOOKUP(REPORTE[[#This Row],[Lote]],PROYECCION[],4,FALSE),"")</f>
        <v/>
      </c>
      <c r="H23" s="42" t="str">
        <f>IFERROR(VLOOKUP(REPORTE[[#This Row],[Lote]],PROYECCION[],6,FALSE),"")</f>
        <v/>
      </c>
      <c r="I23" s="96">
        <v>10</v>
      </c>
      <c r="J23" s="15">
        <f>SUM($S$15:$S$22)*REPORTE[[#This Row],[% Calibre]]</f>
        <v>542.66199205879866</v>
      </c>
      <c r="K23" s="44">
        <v>3.5157988429016497E-2</v>
      </c>
      <c r="L23" s="42"/>
      <c r="M23" s="47"/>
      <c r="N23" s="52">
        <v>45377</v>
      </c>
      <c r="O23" s="50"/>
      <c r="P23" s="48" t="str">
        <f t="shared" si="1"/>
        <v/>
      </c>
      <c r="Q23" s="56">
        <f t="shared" si="2"/>
        <v>0</v>
      </c>
      <c r="R23" s="63"/>
      <c r="S23" s="57">
        <f t="shared" si="3"/>
        <v>0</v>
      </c>
      <c r="T23" s="61"/>
      <c r="U23" s="58">
        <f t="shared" si="4"/>
        <v>0</v>
      </c>
      <c r="V23" s="61"/>
      <c r="W23" s="57">
        <f t="shared" si="5"/>
        <v>0</v>
      </c>
      <c r="X23" s="61"/>
      <c r="Y23" s="59"/>
      <c r="Z23" s="15">
        <f t="shared" si="6"/>
        <v>0</v>
      </c>
      <c r="AA23" s="15" t="str">
        <f t="shared" si="7"/>
        <v/>
      </c>
      <c r="AB23" s="58" t="str">
        <f>IFERROR(REPORTE[[#This Row],[Kg Exportados]]/REPORTE[[#This Row],[Ha]],"")</f>
        <v/>
      </c>
      <c r="AC23" s="55" t="str">
        <f>IFERROR(VLOOKUP(REPORTE[[#This Row],[Lote]],PROYECCION[],16,FALSE),"")</f>
        <v/>
      </c>
      <c r="AD23" s="64" t="s">
        <v>32</v>
      </c>
      <c r="AE23" s="2"/>
      <c r="AG23" s="2"/>
      <c r="AK23" s="2"/>
      <c r="AL23" s="2"/>
      <c r="AN23" s="2"/>
    </row>
    <row r="24" spans="1:40" ht="14.25" customHeight="1" x14ac:dyDescent="0.25">
      <c r="A24" s="42">
        <f t="shared" si="8"/>
        <v>13</v>
      </c>
      <c r="B24" s="42" t="str">
        <f>TEXT(REPORTE[[#This Row],[Fecha]],"MMMM")</f>
        <v>Marzo</v>
      </c>
      <c r="C24" s="42" t="str">
        <f>IFERROR(VLOOKUP(REPORTE[[#This Row],[Lote]],PROYECCION[],3,FALSE),"")</f>
        <v/>
      </c>
      <c r="D24" s="47" t="str">
        <f>IFERROR(VLOOKUP(REPORTE[[#This Row],[Lote]],PROYECCION[],2,FALSE),"")</f>
        <v/>
      </c>
      <c r="E24" s="55"/>
      <c r="F24" s="53" t="str">
        <f>IFERROR(VLOOKUP(REPORTE[[#This Row],[Lote]],PROYECCION[],5,FALSE),"")</f>
        <v/>
      </c>
      <c r="G24" s="42" t="str">
        <f>IFERROR(VLOOKUP(REPORTE[[#This Row],[Lote]],PROYECCION[],4,FALSE),"")</f>
        <v/>
      </c>
      <c r="H24" s="42" t="str">
        <f>IFERROR(VLOOKUP(REPORTE[[#This Row],[Lote]],PROYECCION[],6,FALSE),"")</f>
        <v/>
      </c>
      <c r="I24" s="96">
        <v>12</v>
      </c>
      <c r="J24" s="15">
        <f>SUM($S$15:$S$22)*REPORTE[[#This Row],[% Calibre]]</f>
        <v>4059.6612317310028</v>
      </c>
      <c r="K24" s="44">
        <v>0.2630173564753</v>
      </c>
      <c r="L24" s="42"/>
      <c r="M24" s="47"/>
      <c r="N24" s="52">
        <v>45377</v>
      </c>
      <c r="O24" s="50"/>
      <c r="P24" s="48" t="str">
        <f t="shared" si="1"/>
        <v/>
      </c>
      <c r="Q24" s="56">
        <f t="shared" si="2"/>
        <v>0</v>
      </c>
      <c r="R24" s="63"/>
      <c r="S24" s="57">
        <f t="shared" si="3"/>
        <v>0</v>
      </c>
      <c r="T24" s="61"/>
      <c r="U24" s="58">
        <f t="shared" si="4"/>
        <v>0</v>
      </c>
      <c r="V24" s="61"/>
      <c r="W24" s="57">
        <f t="shared" si="5"/>
        <v>0</v>
      </c>
      <c r="X24" s="61"/>
      <c r="Y24" s="59"/>
      <c r="Z24" s="15">
        <f t="shared" si="6"/>
        <v>0</v>
      </c>
      <c r="AA24" s="15" t="str">
        <f t="shared" si="7"/>
        <v/>
      </c>
      <c r="AB24" s="58" t="str">
        <f>IFERROR(REPORTE[[#This Row],[Kg Exportados]]/REPORTE[[#This Row],[Ha]],"")</f>
        <v/>
      </c>
      <c r="AC24" s="55" t="str">
        <f>IFERROR(VLOOKUP(REPORTE[[#This Row],[Lote]],PROYECCION[],16,FALSE),"")</f>
        <v/>
      </c>
      <c r="AD24" s="64" t="s">
        <v>32</v>
      </c>
      <c r="AE24" s="2"/>
      <c r="AG24" s="2"/>
      <c r="AK24" s="2"/>
      <c r="AL24" s="2"/>
      <c r="AN24" s="2"/>
    </row>
    <row r="25" spans="1:40" ht="14.25" customHeight="1" x14ac:dyDescent="0.25">
      <c r="A25" s="42">
        <f t="shared" si="8"/>
        <v>13</v>
      </c>
      <c r="B25" s="42" t="str">
        <f>TEXT(REPORTE[[#This Row],[Fecha]],"MMMM")</f>
        <v>Marzo</v>
      </c>
      <c r="C25" s="42" t="str">
        <f>IFERROR(VLOOKUP(REPORTE[[#This Row],[Lote]],PROYECCION[],3,FALSE),"")</f>
        <v/>
      </c>
      <c r="D25" s="47" t="str">
        <f>IFERROR(VLOOKUP(REPORTE[[#This Row],[Lote]],PROYECCION[],2,FALSE),"")</f>
        <v/>
      </c>
      <c r="E25" s="55"/>
      <c r="F25" s="53" t="str">
        <f>IFERROR(VLOOKUP(REPORTE[[#This Row],[Lote]],PROYECCION[],5,FALSE),"")</f>
        <v/>
      </c>
      <c r="G25" s="42" t="str">
        <f>IFERROR(VLOOKUP(REPORTE[[#This Row],[Lote]],PROYECCION[],4,FALSE),"")</f>
        <v/>
      </c>
      <c r="H25" s="42" t="str">
        <f>IFERROR(VLOOKUP(REPORTE[[#This Row],[Lote]],PROYECCION[],6,FALSE),"")</f>
        <v/>
      </c>
      <c r="I25" s="96">
        <v>14</v>
      </c>
      <c r="J25" s="15">
        <f>SUM($S$15:$S$22)*REPORTE[[#This Row],[% Calibre]]</f>
        <v>7267.5492101038981</v>
      </c>
      <c r="K25" s="44">
        <v>0.47085002225189099</v>
      </c>
      <c r="L25" s="42"/>
      <c r="M25" s="47"/>
      <c r="N25" s="52">
        <v>45377</v>
      </c>
      <c r="O25" s="50"/>
      <c r="P25" s="48" t="str">
        <f t="shared" si="1"/>
        <v/>
      </c>
      <c r="Q25" s="56">
        <f t="shared" si="2"/>
        <v>0</v>
      </c>
      <c r="R25" s="63"/>
      <c r="S25" s="57">
        <f t="shared" si="3"/>
        <v>0</v>
      </c>
      <c r="T25" s="61"/>
      <c r="U25" s="58">
        <f t="shared" si="4"/>
        <v>0</v>
      </c>
      <c r="V25" s="61"/>
      <c r="W25" s="57">
        <f t="shared" si="5"/>
        <v>0</v>
      </c>
      <c r="X25" s="61"/>
      <c r="Y25" s="59"/>
      <c r="Z25" s="15">
        <f t="shared" si="6"/>
        <v>0</v>
      </c>
      <c r="AA25" s="15" t="str">
        <f t="shared" si="7"/>
        <v/>
      </c>
      <c r="AB25" s="58" t="str">
        <f>IFERROR(REPORTE[[#This Row],[Kg Exportados]]/REPORTE[[#This Row],[Ha]],"")</f>
        <v/>
      </c>
      <c r="AC25" s="55" t="str">
        <f>IFERROR(VLOOKUP(REPORTE[[#This Row],[Lote]],PROYECCION[],16,FALSE),"")</f>
        <v/>
      </c>
      <c r="AD25" s="64" t="s">
        <v>32</v>
      </c>
      <c r="AE25" s="2"/>
      <c r="AG25" s="2"/>
      <c r="AK25" s="2"/>
      <c r="AL25" s="2"/>
      <c r="AN25" s="2"/>
    </row>
    <row r="26" spans="1:40" ht="14.25" customHeight="1" x14ac:dyDescent="0.25">
      <c r="A26" s="42">
        <f t="shared" si="8"/>
        <v>13</v>
      </c>
      <c r="B26" s="42" t="str">
        <f>TEXT(REPORTE[[#This Row],[Fecha]],"MMMM")</f>
        <v>Marzo</v>
      </c>
      <c r="C26" s="42" t="str">
        <f>IFERROR(VLOOKUP(REPORTE[[#This Row],[Lote]],PROYECCION[],3,FALSE),"")</f>
        <v/>
      </c>
      <c r="D26" s="47" t="str">
        <f>IFERROR(VLOOKUP(REPORTE[[#This Row],[Lote]],PROYECCION[],2,FALSE),"")</f>
        <v/>
      </c>
      <c r="E26" s="55"/>
      <c r="F26" s="53" t="str">
        <f>IFERROR(VLOOKUP(REPORTE[[#This Row],[Lote]],PROYECCION[],5,FALSE),"")</f>
        <v/>
      </c>
      <c r="G26" s="42" t="str">
        <f>IFERROR(VLOOKUP(REPORTE[[#This Row],[Lote]],PROYECCION[],4,FALSE),"")</f>
        <v/>
      </c>
      <c r="H26" s="42" t="str">
        <f>IFERROR(VLOOKUP(REPORTE[[#This Row],[Lote]],PROYECCION[],6,FALSE),"")</f>
        <v/>
      </c>
      <c r="I26" s="96">
        <v>16</v>
      </c>
      <c r="J26" s="15">
        <f>SUM($S$15:$S$22)*REPORTE[[#This Row],[% Calibre]]</f>
        <v>3565.083213652093</v>
      </c>
      <c r="K26" s="44">
        <v>0.23097463284379099</v>
      </c>
      <c r="L26" s="42"/>
      <c r="M26" s="47"/>
      <c r="N26" s="52">
        <v>45377</v>
      </c>
      <c r="O26" s="50"/>
      <c r="P26" s="48" t="str">
        <f t="shared" si="1"/>
        <v/>
      </c>
      <c r="Q26" s="56">
        <f t="shared" si="2"/>
        <v>0</v>
      </c>
      <c r="R26" s="63"/>
      <c r="S26" s="57">
        <f t="shared" si="3"/>
        <v>0</v>
      </c>
      <c r="T26" s="61"/>
      <c r="U26" s="58">
        <f t="shared" si="4"/>
        <v>0</v>
      </c>
      <c r="V26" s="61"/>
      <c r="W26" s="57">
        <f t="shared" si="5"/>
        <v>0</v>
      </c>
      <c r="X26" s="61"/>
      <c r="Y26" s="59"/>
      <c r="Z26" s="15">
        <f t="shared" si="6"/>
        <v>0</v>
      </c>
      <c r="AA26" s="15" t="str">
        <f t="shared" si="7"/>
        <v/>
      </c>
      <c r="AB26" s="58" t="str">
        <f>IFERROR(REPORTE[[#This Row],[Kg Exportados]]/REPORTE[[#This Row],[Ha]],"")</f>
        <v/>
      </c>
      <c r="AC26" s="55" t="str">
        <f>IFERROR(VLOOKUP(REPORTE[[#This Row],[Lote]],PROYECCION[],16,FALSE),"")</f>
        <v/>
      </c>
      <c r="AD26" s="64" t="s">
        <v>32</v>
      </c>
      <c r="AE26" s="2"/>
      <c r="AG26" s="2"/>
      <c r="AK26" s="2"/>
      <c r="AL26" s="2"/>
      <c r="AN26" s="2"/>
    </row>
    <row r="27" spans="1:40" ht="14.25" customHeight="1" x14ac:dyDescent="0.25">
      <c r="A27" s="42">
        <f t="shared" si="8"/>
        <v>13</v>
      </c>
      <c r="B27" s="42" t="str">
        <f>TEXT(REPORTE[[#This Row],[Fecha]],"MMMM")</f>
        <v>Marzo</v>
      </c>
      <c r="C27" s="42" t="str">
        <f>IFERROR(VLOOKUP(REPORTE[[#This Row],[Lote]],PROYECCION[],3,FALSE),"")</f>
        <v>El Marsano</v>
      </c>
      <c r="D27" s="47" t="str">
        <f>IFERROR(VLOOKUP(REPORTE[[#This Row],[Lote]],PROYECCION[],2,FALSE),"")</f>
        <v>Agricola Guili S.A.C</v>
      </c>
      <c r="E27" s="55" t="s">
        <v>17</v>
      </c>
      <c r="F27" s="53">
        <f>IFERROR(VLOOKUP(REPORTE[[#This Row],[Lote]],PROYECCION[],5,FALSE),"")</f>
        <v>26.08</v>
      </c>
      <c r="G27" s="42" t="str">
        <f>IFERROR(VLOOKUP(REPORTE[[#This Row],[Lote]],PROYECCION[],4,FALSE),"")</f>
        <v>Hass</v>
      </c>
      <c r="H27" s="42" t="str">
        <f>IFERROR(VLOOKUP(REPORTE[[#This Row],[Lote]],PROYECCION[],6,FALSE),"")</f>
        <v>Negra</v>
      </c>
      <c r="I27" s="96"/>
      <c r="J27" s="15"/>
      <c r="K27" s="44"/>
      <c r="L27" s="42" t="s">
        <v>74</v>
      </c>
      <c r="M27" s="47" t="s">
        <v>71</v>
      </c>
      <c r="N27" s="52">
        <v>45377</v>
      </c>
      <c r="O27" s="50">
        <v>2</v>
      </c>
      <c r="P27" s="48">
        <f t="shared" si="1"/>
        <v>436</v>
      </c>
      <c r="Q27" s="56">
        <f t="shared" si="2"/>
        <v>82.765227675931328</v>
      </c>
      <c r="R27" s="63">
        <v>872</v>
      </c>
      <c r="S27" s="57">
        <f t="shared" si="3"/>
        <v>827.65227675931328</v>
      </c>
      <c r="T27" s="61">
        <v>0.94914251921939596</v>
      </c>
      <c r="U27" s="58">
        <f t="shared" si="4"/>
        <v>13.86787192700853</v>
      </c>
      <c r="V27" s="61">
        <v>1.5903522852074001E-2</v>
      </c>
      <c r="W27" s="57">
        <f t="shared" si="5"/>
        <v>30.479851313677461</v>
      </c>
      <c r="X27" s="61">
        <v>3.4953957928529199E-2</v>
      </c>
      <c r="Y27" s="59"/>
      <c r="Z27" s="15">
        <f t="shared" si="6"/>
        <v>872</v>
      </c>
      <c r="AA27" s="15">
        <f t="shared" si="7"/>
        <v>33.435582822085891</v>
      </c>
      <c r="AB27" s="58">
        <f>IFERROR(REPORTE[[#This Row],[Kg Exportados]]/REPORTE[[#This Row],[Ha]],"")</f>
        <v>31.735133311323363</v>
      </c>
      <c r="AC27" s="55" t="str">
        <f>IFERROR(VLOOKUP(REPORTE[[#This Row],[Lote]],PROYECCION[],16,FALSE),"")</f>
        <v>Cosechando</v>
      </c>
      <c r="AD27" s="64" t="s">
        <v>32</v>
      </c>
      <c r="AE27" s="2"/>
      <c r="AG27" s="2"/>
      <c r="AK27" s="2"/>
      <c r="AL27" s="2"/>
      <c r="AN27" s="2"/>
    </row>
    <row r="28" spans="1:40" ht="14.25" customHeight="1" x14ac:dyDescent="0.25">
      <c r="A28" s="42">
        <f>WEEKNUM(N28)</f>
        <v>13</v>
      </c>
      <c r="B28" s="42" t="str">
        <f>TEXT(REPORTE[[#This Row],[Fecha]],"MMMM")</f>
        <v>Marzo</v>
      </c>
      <c r="C28" s="42" t="str">
        <f>IFERROR(VLOOKUP(REPORTE[[#This Row],[Lote]],PROYECCION[],3,FALSE),"")</f>
        <v>Cuatro Vientos</v>
      </c>
      <c r="D28" s="47" t="str">
        <f>IFERROR(VLOOKUP(REPORTE[[#This Row],[Lote]],PROYECCION[],2,FALSE),"")</f>
        <v>Agricola Guili S.A.C</v>
      </c>
      <c r="E28" s="55" t="s">
        <v>27</v>
      </c>
      <c r="F28" s="53">
        <f>IFERROR(VLOOKUP(REPORTE[[#This Row],[Lote]],PROYECCION[],5,FALSE),"")</f>
        <v>6.5525210084033612</v>
      </c>
      <c r="G28" s="42" t="str">
        <f>IFERROR(VLOOKUP(REPORTE[[#This Row],[Lote]],PROYECCION[],4,FALSE),"")</f>
        <v>Hass</v>
      </c>
      <c r="H28" s="42" t="str">
        <f>IFERROR(VLOOKUP(REPORTE[[#This Row],[Lote]],PROYECCION[],6,FALSE),"")</f>
        <v>Negra</v>
      </c>
      <c r="I28" s="96"/>
      <c r="J28" s="15"/>
      <c r="K28" s="44"/>
      <c r="L28" s="42" t="s">
        <v>74</v>
      </c>
      <c r="M28" s="47" t="s">
        <v>71</v>
      </c>
      <c r="N28" s="52">
        <v>45377</v>
      </c>
      <c r="O28" s="50">
        <v>3</v>
      </c>
      <c r="P28" s="48">
        <f>IFERROR((+R28/O28),"")</f>
        <v>436</v>
      </c>
      <c r="Q28" s="56">
        <f>+S28/10</f>
        <v>124.14784151389699</v>
      </c>
      <c r="R28" s="63">
        <v>1308</v>
      </c>
      <c r="S28" s="57">
        <f>+R28*T28</f>
        <v>1241.4784151389699</v>
      </c>
      <c r="T28" s="61">
        <v>0.94914251921939596</v>
      </c>
      <c r="U28" s="58">
        <f>R28*V28</f>
        <v>20.801807890512794</v>
      </c>
      <c r="V28" s="61">
        <v>1.5903522852074001E-2</v>
      </c>
      <c r="W28" s="57">
        <f>R28*X28</f>
        <v>45.719776970516193</v>
      </c>
      <c r="X28" s="61">
        <v>3.4953957928529199E-2</v>
      </c>
      <c r="Y28" s="59"/>
      <c r="Z28" s="15">
        <f>R28+Y28</f>
        <v>1308</v>
      </c>
      <c r="AA28" s="15">
        <f>IFERROR((Z28/F28),"")</f>
        <v>199.61782622635459</v>
      </c>
      <c r="AB28" s="58">
        <f>IFERROR(REPORTE[[#This Row],[Kg Exportados]]/REPORTE[[#This Row],[Ha]],"")</f>
        <v>189.46576646558182</v>
      </c>
      <c r="AC28" s="55" t="str">
        <f>IFERROR(VLOOKUP(REPORTE[[#This Row],[Lote]],PROYECCION[],16,FALSE),"")</f>
        <v>Cosechando</v>
      </c>
      <c r="AD28" s="64" t="s">
        <v>32</v>
      </c>
      <c r="AE28" s="2"/>
      <c r="AG28" s="2"/>
      <c r="AK28" s="2"/>
      <c r="AL28" s="2"/>
      <c r="AN28" s="2"/>
    </row>
    <row r="29" spans="1:40" ht="14.25" customHeight="1" x14ac:dyDescent="0.25">
      <c r="A29" s="42">
        <f>WEEKNUM(N29)</f>
        <v>13</v>
      </c>
      <c r="B29" s="42" t="str">
        <f>TEXT(REPORTE[[#This Row],[Fecha]],"MMMM")</f>
        <v>Marzo</v>
      </c>
      <c r="C29" s="42" t="str">
        <f>IFERROR(VLOOKUP(REPORTE[[#This Row],[Lote]],PROYECCION[],3,FALSE),"")</f>
        <v>Cuatro Vientos</v>
      </c>
      <c r="D29" s="47" t="str">
        <f>IFERROR(VLOOKUP(REPORTE[[#This Row],[Lote]],PROYECCION[],2,FALSE),"")</f>
        <v>Agricola Guili S.A.C</v>
      </c>
      <c r="E29" s="55" t="s">
        <v>29</v>
      </c>
      <c r="F29" s="53">
        <f>IFERROR(VLOOKUP(REPORTE[[#This Row],[Lote]],PROYECCION[],5,FALSE),"")</f>
        <v>8.7394957983193269</v>
      </c>
      <c r="G29" s="42" t="str">
        <f>IFERROR(VLOOKUP(REPORTE[[#This Row],[Lote]],PROYECCION[],4,FALSE),"")</f>
        <v>Hass</v>
      </c>
      <c r="H29" s="42" t="str">
        <f>IFERROR(VLOOKUP(REPORTE[[#This Row],[Lote]],PROYECCION[],6,FALSE),"")</f>
        <v>Negra</v>
      </c>
      <c r="I29" s="96"/>
      <c r="J29" s="15"/>
      <c r="K29" s="44"/>
      <c r="L29" s="42" t="s">
        <v>74</v>
      </c>
      <c r="M29" s="47" t="s">
        <v>71</v>
      </c>
      <c r="N29" s="52">
        <v>45377</v>
      </c>
      <c r="O29" s="50">
        <v>3</v>
      </c>
      <c r="P29" s="48">
        <f>IFERROR((+R29/O29),"")</f>
        <v>436</v>
      </c>
      <c r="Q29" s="56">
        <f>+S29/10</f>
        <v>124.14784151389699</v>
      </c>
      <c r="R29" s="63">
        <v>1308</v>
      </c>
      <c r="S29" s="57">
        <f>+R29*T29</f>
        <v>1241.4784151389699</v>
      </c>
      <c r="T29" s="61">
        <v>0.94914251921939596</v>
      </c>
      <c r="U29" s="58">
        <f>R29*V29</f>
        <v>20.801807890512794</v>
      </c>
      <c r="V29" s="61">
        <v>1.5903522852074001E-2</v>
      </c>
      <c r="W29" s="57">
        <f>R29*X29</f>
        <v>45.719776970516193</v>
      </c>
      <c r="X29" s="61">
        <v>3.4953957928529199E-2</v>
      </c>
      <c r="Y29" s="59"/>
      <c r="Z29" s="15">
        <f>R29+Y29</f>
        <v>1308</v>
      </c>
      <c r="AA29" s="15">
        <f>IFERROR((Z29/F29),"")</f>
        <v>149.66538461538462</v>
      </c>
      <c r="AB29" s="58">
        <f>IFERROR(REPORTE[[#This Row],[Kg Exportados]]/REPORTE[[#This Row],[Ha]],"")</f>
        <v>142.053780193786</v>
      </c>
      <c r="AC29" s="55" t="str">
        <f>IFERROR(VLOOKUP(REPORTE[[#This Row],[Lote]],PROYECCION[],16,FALSE),"")</f>
        <v>Cosechando</v>
      </c>
      <c r="AD29" s="64" t="s">
        <v>32</v>
      </c>
      <c r="AE29" s="2"/>
      <c r="AG29" s="2"/>
      <c r="AK29" s="2"/>
      <c r="AL29" s="2"/>
      <c r="AN29" s="2"/>
    </row>
    <row r="30" spans="1:40" ht="14.25" customHeight="1" x14ac:dyDescent="0.25">
      <c r="A30" s="42">
        <f>WEEKNUM(N30)</f>
        <v>13</v>
      </c>
      <c r="B30" s="42" t="str">
        <f>TEXT(REPORTE[[#This Row],[Fecha]],"MMMM")</f>
        <v>Marzo</v>
      </c>
      <c r="C30" s="42" t="str">
        <f>IFERROR(VLOOKUP(REPORTE[[#This Row],[Lote]],PROYECCION[],3,FALSE),"")</f>
        <v>Cuatro Vientos</v>
      </c>
      <c r="D30" s="47" t="str">
        <f>IFERROR(VLOOKUP(REPORTE[[#This Row],[Lote]],PROYECCION[],2,FALSE),"")</f>
        <v>Agricola Guili S.A.C</v>
      </c>
      <c r="E30" s="55" t="s">
        <v>40</v>
      </c>
      <c r="F30" s="53">
        <f>IFERROR(VLOOKUP(REPORTE[[#This Row],[Lote]],PROYECCION[],5,FALSE),"")</f>
        <v>7.2100840336134455</v>
      </c>
      <c r="G30" s="42" t="str">
        <f>IFERROR(VLOOKUP(REPORTE[[#This Row],[Lote]],PROYECCION[],4,FALSE),"")</f>
        <v>Hass</v>
      </c>
      <c r="H30" s="42" t="str">
        <f>IFERROR(VLOOKUP(REPORTE[[#This Row],[Lote]],PROYECCION[],6,FALSE),"")</f>
        <v>Negra</v>
      </c>
      <c r="I30" s="96"/>
      <c r="J30" s="15"/>
      <c r="K30" s="44"/>
      <c r="L30" s="42" t="s">
        <v>74</v>
      </c>
      <c r="M30" s="47" t="s">
        <v>71</v>
      </c>
      <c r="N30" s="52">
        <v>45377</v>
      </c>
      <c r="O30" s="50">
        <v>9</v>
      </c>
      <c r="P30" s="48">
        <f>IFERROR((+R30/O30),"")</f>
        <v>436</v>
      </c>
      <c r="Q30" s="56">
        <f>+S30/10</f>
        <v>372.44352454169098</v>
      </c>
      <c r="R30" s="63">
        <v>3924</v>
      </c>
      <c r="S30" s="57">
        <f>+R30*T30</f>
        <v>3724.4352454169098</v>
      </c>
      <c r="T30" s="61">
        <v>0.94914251921939596</v>
      </c>
      <c r="U30" s="58">
        <f>R30*V30</f>
        <v>62.405423671538379</v>
      </c>
      <c r="V30" s="61">
        <v>1.5903522852074001E-2</v>
      </c>
      <c r="W30" s="57">
        <f>R30*X30</f>
        <v>137.15933091154858</v>
      </c>
      <c r="X30" s="61">
        <v>3.4953957928529199E-2</v>
      </c>
      <c r="Y30" s="59"/>
      <c r="Z30" s="15">
        <f>R30+Y30</f>
        <v>3924</v>
      </c>
      <c r="AA30" s="15">
        <f>IFERROR((Z30/F30),"")</f>
        <v>544.23776223776224</v>
      </c>
      <c r="AB30" s="58">
        <f>IFERROR(REPORTE[[#This Row],[Kg Exportados]]/REPORTE[[#This Row],[Ha]],"")</f>
        <v>516.5592007046763</v>
      </c>
      <c r="AC30" s="55" t="str">
        <f>IFERROR(VLOOKUP(REPORTE[[#This Row],[Lote]],PROYECCION[],16,FALSE),"")</f>
        <v>Cosechando</v>
      </c>
      <c r="AD30" s="64" t="s">
        <v>32</v>
      </c>
      <c r="AE30" s="2"/>
      <c r="AG30" s="2"/>
      <c r="AK30" s="2"/>
      <c r="AL30" s="2"/>
      <c r="AN30" s="2"/>
    </row>
    <row r="31" spans="1:40" ht="14.25" customHeight="1" x14ac:dyDescent="0.25">
      <c r="A31" s="42">
        <f t="shared" si="8"/>
        <v>13</v>
      </c>
      <c r="B31" s="42" t="str">
        <f>TEXT(REPORTE[[#This Row],[Fecha]],"MMMM")</f>
        <v>Marzo</v>
      </c>
      <c r="C31" s="42" t="str">
        <f>IFERROR(VLOOKUP(REPORTE[[#This Row],[Lote]],PROYECCION[],3,FALSE),"")</f>
        <v/>
      </c>
      <c r="D31" s="47" t="str">
        <f>IFERROR(VLOOKUP(REPORTE[[#This Row],[Lote]],PROYECCION[],2,FALSE),"")</f>
        <v/>
      </c>
      <c r="E31" s="55"/>
      <c r="F31" s="53" t="str">
        <f>IFERROR(VLOOKUP(REPORTE[[#This Row],[Lote]],PROYECCION[],5,FALSE),"")</f>
        <v/>
      </c>
      <c r="G31" s="42" t="str">
        <f>IFERROR(VLOOKUP(REPORTE[[#This Row],[Lote]],PROYECCION[],4,FALSE),"")</f>
        <v/>
      </c>
      <c r="H31" s="42" t="str">
        <f>IFERROR(VLOOKUP(REPORTE[[#This Row],[Lote]],PROYECCION[],6,FALSE),"")</f>
        <v/>
      </c>
      <c r="I31" s="96">
        <v>10</v>
      </c>
      <c r="J31" s="15">
        <f>SUM($S$27:$S$30)*REPORTE[[#This Row],[% Calibre]]</f>
        <v>247.33800794120131</v>
      </c>
      <c r="K31" s="44">
        <v>3.5157988429016497E-2</v>
      </c>
      <c r="L31" s="42"/>
      <c r="M31" s="47"/>
      <c r="N31" s="52">
        <v>45377</v>
      </c>
      <c r="O31" s="50"/>
      <c r="P31" s="48" t="str">
        <f t="shared" si="1"/>
        <v/>
      </c>
      <c r="Q31" s="56">
        <f t="shared" si="2"/>
        <v>0</v>
      </c>
      <c r="R31" s="63"/>
      <c r="S31" s="57">
        <f t="shared" si="3"/>
        <v>0</v>
      </c>
      <c r="T31" s="61"/>
      <c r="U31" s="58">
        <f t="shared" si="4"/>
        <v>0</v>
      </c>
      <c r="V31" s="61"/>
      <c r="W31" s="57">
        <f t="shared" si="5"/>
        <v>0</v>
      </c>
      <c r="X31" s="61"/>
      <c r="Y31" s="59"/>
      <c r="Z31" s="15">
        <f t="shared" si="6"/>
        <v>0</v>
      </c>
      <c r="AA31" s="15" t="str">
        <f t="shared" si="7"/>
        <v/>
      </c>
      <c r="AB31" s="58" t="str">
        <f>IFERROR(REPORTE[[#This Row],[Kg Exportados]]/REPORTE[[#This Row],[Ha]],"")</f>
        <v/>
      </c>
      <c r="AC31" s="55" t="str">
        <f>IFERROR(VLOOKUP(REPORTE[[#This Row],[Lote]],PROYECCION[],16,FALSE),"")</f>
        <v/>
      </c>
      <c r="AD31" s="64" t="s">
        <v>32</v>
      </c>
      <c r="AE31" s="2"/>
      <c r="AG31" s="2"/>
      <c r="AK31" s="2"/>
      <c r="AL31" s="2"/>
      <c r="AN31" s="2"/>
    </row>
    <row r="32" spans="1:40" ht="14.25" customHeight="1" x14ac:dyDescent="0.25">
      <c r="A32" s="42">
        <f t="shared" si="8"/>
        <v>13</v>
      </c>
      <c r="B32" s="42" t="str">
        <f>TEXT(REPORTE[[#This Row],[Fecha]],"MMMM")</f>
        <v>Marzo</v>
      </c>
      <c r="C32" s="42" t="str">
        <f>IFERROR(VLOOKUP(REPORTE[[#This Row],[Lote]],PROYECCION[],3,FALSE),"")</f>
        <v/>
      </c>
      <c r="D32" s="47" t="str">
        <f>IFERROR(VLOOKUP(REPORTE[[#This Row],[Lote]],PROYECCION[],2,FALSE),"")</f>
        <v/>
      </c>
      <c r="E32" s="55"/>
      <c r="F32" s="53" t="str">
        <f>IFERROR(VLOOKUP(REPORTE[[#This Row],[Lote]],PROYECCION[],5,FALSE),"")</f>
        <v/>
      </c>
      <c r="G32" s="42" t="str">
        <f>IFERROR(VLOOKUP(REPORTE[[#This Row],[Lote]],PROYECCION[],4,FALSE),"")</f>
        <v/>
      </c>
      <c r="H32" s="42" t="str">
        <f>IFERROR(VLOOKUP(REPORTE[[#This Row],[Lote]],PROYECCION[],6,FALSE),"")</f>
        <v/>
      </c>
      <c r="I32" s="96">
        <v>12</v>
      </c>
      <c r="J32" s="15">
        <f>SUM($S$27:$S$30)*REPORTE[[#This Row],[% Calibre]]</f>
        <v>1850.3387682689824</v>
      </c>
      <c r="K32" s="44">
        <v>0.2630173564753</v>
      </c>
      <c r="L32" s="42"/>
      <c r="M32" s="47"/>
      <c r="N32" s="52">
        <v>45377</v>
      </c>
      <c r="O32" s="50"/>
      <c r="P32" s="48" t="str">
        <f t="shared" si="1"/>
        <v/>
      </c>
      <c r="Q32" s="56">
        <f t="shared" si="2"/>
        <v>0</v>
      </c>
      <c r="R32" s="63"/>
      <c r="S32" s="57">
        <f t="shared" si="3"/>
        <v>0</v>
      </c>
      <c r="T32" s="61"/>
      <c r="U32" s="58">
        <f t="shared" si="4"/>
        <v>0</v>
      </c>
      <c r="V32" s="61"/>
      <c r="W32" s="57">
        <f t="shared" si="5"/>
        <v>0</v>
      </c>
      <c r="X32" s="61"/>
      <c r="Y32" s="59"/>
      <c r="Z32" s="15">
        <f t="shared" si="6"/>
        <v>0</v>
      </c>
      <c r="AA32" s="15" t="str">
        <f t="shared" si="7"/>
        <v/>
      </c>
      <c r="AB32" s="58" t="str">
        <f>IFERROR(REPORTE[[#This Row],[Kg Exportados]]/REPORTE[[#This Row],[Ha]],"")</f>
        <v/>
      </c>
      <c r="AC32" s="55" t="str">
        <f>IFERROR(VLOOKUP(REPORTE[[#This Row],[Lote]],PROYECCION[],16,FALSE),"")</f>
        <v/>
      </c>
      <c r="AD32" s="64" t="s">
        <v>32</v>
      </c>
      <c r="AE32" s="2"/>
      <c r="AG32" s="2"/>
      <c r="AK32" s="2"/>
      <c r="AL32" s="2"/>
      <c r="AN32" s="2"/>
    </row>
    <row r="33" spans="1:40" ht="14.25" customHeight="1" x14ac:dyDescent="0.25">
      <c r="A33" s="42">
        <f t="shared" si="8"/>
        <v>13</v>
      </c>
      <c r="B33" s="42" t="str">
        <f>TEXT(REPORTE[[#This Row],[Fecha]],"MMMM")</f>
        <v>Marzo</v>
      </c>
      <c r="C33" s="42" t="str">
        <f>IFERROR(VLOOKUP(REPORTE[[#This Row],[Lote]],PROYECCION[],3,FALSE),"")</f>
        <v/>
      </c>
      <c r="D33" s="47" t="str">
        <f>IFERROR(VLOOKUP(REPORTE[[#This Row],[Lote]],PROYECCION[],2,FALSE),"")</f>
        <v/>
      </c>
      <c r="E33" s="55"/>
      <c r="F33" s="53" t="str">
        <f>IFERROR(VLOOKUP(REPORTE[[#This Row],[Lote]],PROYECCION[],5,FALSE),"")</f>
        <v/>
      </c>
      <c r="G33" s="42" t="str">
        <f>IFERROR(VLOOKUP(REPORTE[[#This Row],[Lote]],PROYECCION[],4,FALSE),"")</f>
        <v/>
      </c>
      <c r="H33" s="42" t="str">
        <f>IFERROR(VLOOKUP(REPORTE[[#This Row],[Lote]],PROYECCION[],6,FALSE),"")</f>
        <v/>
      </c>
      <c r="I33" s="96">
        <v>14</v>
      </c>
      <c r="J33" s="15">
        <f>SUM($S$27:$S$30)*REPORTE[[#This Row],[% Calibre]]</f>
        <v>3312.4507898960824</v>
      </c>
      <c r="K33" s="44">
        <v>0.47085002225189099</v>
      </c>
      <c r="L33" s="42"/>
      <c r="M33" s="47"/>
      <c r="N33" s="52">
        <v>45377</v>
      </c>
      <c r="O33" s="50"/>
      <c r="P33" s="48" t="str">
        <f t="shared" si="1"/>
        <v/>
      </c>
      <c r="Q33" s="56">
        <f t="shared" si="2"/>
        <v>0</v>
      </c>
      <c r="R33" s="63"/>
      <c r="S33" s="57">
        <f t="shared" si="3"/>
        <v>0</v>
      </c>
      <c r="T33" s="61"/>
      <c r="U33" s="58">
        <f t="shared" si="4"/>
        <v>0</v>
      </c>
      <c r="V33" s="61"/>
      <c r="W33" s="57">
        <f t="shared" si="5"/>
        <v>0</v>
      </c>
      <c r="X33" s="61"/>
      <c r="Y33" s="59"/>
      <c r="Z33" s="15">
        <f t="shared" si="6"/>
        <v>0</v>
      </c>
      <c r="AA33" s="15" t="str">
        <f t="shared" si="7"/>
        <v/>
      </c>
      <c r="AB33" s="58" t="str">
        <f>IFERROR(REPORTE[[#This Row],[Kg Exportados]]/REPORTE[[#This Row],[Ha]],"")</f>
        <v/>
      </c>
      <c r="AC33" s="55" t="str">
        <f>IFERROR(VLOOKUP(REPORTE[[#This Row],[Lote]],PROYECCION[],16,FALSE),"")</f>
        <v/>
      </c>
      <c r="AD33" s="64" t="s">
        <v>32</v>
      </c>
      <c r="AE33" s="2"/>
      <c r="AG33" s="2"/>
      <c r="AK33" s="2"/>
      <c r="AL33" s="2"/>
      <c r="AN33" s="2"/>
    </row>
    <row r="34" spans="1:40" ht="14.25" customHeight="1" x14ac:dyDescent="0.25">
      <c r="A34" s="42">
        <f t="shared" si="8"/>
        <v>13</v>
      </c>
      <c r="B34" s="42" t="str">
        <f>TEXT(REPORTE[[#This Row],[Fecha]],"MMMM")</f>
        <v>Marzo</v>
      </c>
      <c r="C34" s="42" t="str">
        <f>IFERROR(VLOOKUP(REPORTE[[#This Row],[Lote]],PROYECCION[],3,FALSE),"")</f>
        <v/>
      </c>
      <c r="D34" s="47" t="str">
        <f>IFERROR(VLOOKUP(REPORTE[[#This Row],[Lote]],PROYECCION[],2,FALSE),"")</f>
        <v/>
      </c>
      <c r="E34" s="55"/>
      <c r="F34" s="53" t="str">
        <f>IFERROR(VLOOKUP(REPORTE[[#This Row],[Lote]],PROYECCION[],5,FALSE),"")</f>
        <v/>
      </c>
      <c r="G34" s="42" t="str">
        <f>IFERROR(VLOOKUP(REPORTE[[#This Row],[Lote]],PROYECCION[],4,FALSE),"")</f>
        <v/>
      </c>
      <c r="H34" s="42" t="str">
        <f>IFERROR(VLOOKUP(REPORTE[[#This Row],[Lote]],PROYECCION[],6,FALSE),"")</f>
        <v/>
      </c>
      <c r="I34" s="96">
        <v>16</v>
      </c>
      <c r="J34" s="15">
        <f>SUM($S$27:$S$30)*REPORTE[[#This Row],[% Calibre]]</f>
        <v>1624.9167863478856</v>
      </c>
      <c r="K34" s="44">
        <v>0.23097463284379099</v>
      </c>
      <c r="L34" s="42"/>
      <c r="M34" s="47"/>
      <c r="N34" s="52">
        <v>45377</v>
      </c>
      <c r="O34" s="50"/>
      <c r="P34" s="48" t="str">
        <f t="shared" si="1"/>
        <v/>
      </c>
      <c r="Q34" s="56">
        <f t="shared" si="2"/>
        <v>0</v>
      </c>
      <c r="R34" s="63"/>
      <c r="S34" s="57">
        <f t="shared" si="3"/>
        <v>0</v>
      </c>
      <c r="T34" s="61"/>
      <c r="U34" s="58">
        <f t="shared" si="4"/>
        <v>0</v>
      </c>
      <c r="V34" s="61"/>
      <c r="W34" s="57">
        <f t="shared" si="5"/>
        <v>0</v>
      </c>
      <c r="X34" s="61"/>
      <c r="Y34" s="59"/>
      <c r="Z34" s="15">
        <f t="shared" si="6"/>
        <v>0</v>
      </c>
      <c r="AA34" s="15" t="str">
        <f t="shared" si="7"/>
        <v/>
      </c>
      <c r="AB34" s="58" t="str">
        <f>IFERROR(REPORTE[[#This Row],[Kg Exportados]]/REPORTE[[#This Row],[Ha]],"")</f>
        <v/>
      </c>
      <c r="AC34" s="55" t="str">
        <f>IFERROR(VLOOKUP(REPORTE[[#This Row],[Lote]],PROYECCION[],16,FALSE),"")</f>
        <v/>
      </c>
      <c r="AD34" s="64" t="s">
        <v>32</v>
      </c>
      <c r="AE34" s="2"/>
      <c r="AG34" s="2"/>
      <c r="AK34" s="2"/>
      <c r="AL34" s="2"/>
      <c r="AN34" s="2"/>
    </row>
    <row r="35" spans="1:40" ht="14.25" customHeight="1" x14ac:dyDescent="0.25">
      <c r="A35" s="42">
        <f t="shared" si="8"/>
        <v>13</v>
      </c>
      <c r="B35" s="42" t="str">
        <f>TEXT(REPORTE[[#This Row],[Fecha]],"MMMM")</f>
        <v>Marzo</v>
      </c>
      <c r="C35" s="42" t="str">
        <f>IFERROR(VLOOKUP(REPORTE[[#This Row],[Lote]],PROYECCION[],3,FALSE),"")</f>
        <v>Cuatro Vientos</v>
      </c>
      <c r="D35" s="47" t="str">
        <f>IFERROR(VLOOKUP(REPORTE[[#This Row],[Lote]],PROYECCION[],2,FALSE),"")</f>
        <v>Agricola Guili S.A.C</v>
      </c>
      <c r="E35" s="55" t="s">
        <v>40</v>
      </c>
      <c r="F35" s="53">
        <f>IFERROR(VLOOKUP(REPORTE[[#This Row],[Lote]],PROYECCION[],5,FALSE),"")</f>
        <v>7.2100840336134455</v>
      </c>
      <c r="G35" s="42" t="str">
        <f>IFERROR(VLOOKUP(REPORTE[[#This Row],[Lote]],PROYECCION[],4,FALSE),"")</f>
        <v>Hass</v>
      </c>
      <c r="H35" s="42" t="str">
        <f>IFERROR(VLOOKUP(REPORTE[[#This Row],[Lote]],PROYECCION[],6,FALSE),"")</f>
        <v>Negra</v>
      </c>
      <c r="I35" s="96"/>
      <c r="J35" s="15"/>
      <c r="K35" s="44"/>
      <c r="L35" s="42" t="s">
        <v>75</v>
      </c>
      <c r="M35" s="47"/>
      <c r="N35" s="52">
        <v>45377</v>
      </c>
      <c r="O35" s="50">
        <v>1</v>
      </c>
      <c r="P35" s="48">
        <f t="shared" si="1"/>
        <v>0</v>
      </c>
      <c r="Q35" s="56">
        <f t="shared" si="2"/>
        <v>0</v>
      </c>
      <c r="R35" s="63"/>
      <c r="S35" s="57">
        <f t="shared" si="3"/>
        <v>0</v>
      </c>
      <c r="T35" s="61"/>
      <c r="U35" s="58">
        <f t="shared" si="4"/>
        <v>0</v>
      </c>
      <c r="V35" s="61"/>
      <c r="W35" s="57">
        <f t="shared" si="5"/>
        <v>0</v>
      </c>
      <c r="X35" s="61"/>
      <c r="Y35" s="59">
        <v>483.5</v>
      </c>
      <c r="Z35" s="15">
        <f t="shared" si="6"/>
        <v>483.5</v>
      </c>
      <c r="AA35" s="15">
        <f t="shared" si="7"/>
        <v>67.058857808857809</v>
      </c>
      <c r="AB35" s="58">
        <f>IFERROR(REPORTE[[#This Row],[Kg Exportados]]/REPORTE[[#This Row],[Ha]],"")</f>
        <v>0</v>
      </c>
      <c r="AC35" s="55" t="str">
        <f>IFERROR(VLOOKUP(REPORTE[[#This Row],[Lote]],PROYECCION[],16,FALSE),"")</f>
        <v>Cosechando</v>
      </c>
      <c r="AD35" s="64" t="s">
        <v>72</v>
      </c>
      <c r="AE35" s="2"/>
      <c r="AG35" s="2"/>
      <c r="AK35" s="2"/>
      <c r="AL35" s="2"/>
      <c r="AN35" s="2"/>
    </row>
    <row r="36" spans="1:40" ht="14.25" customHeight="1" x14ac:dyDescent="0.25">
      <c r="A36" s="42">
        <f>WEEKNUM(N36)</f>
        <v>13</v>
      </c>
      <c r="B36" s="42" t="str">
        <f>TEXT(REPORTE[[#This Row],[Fecha]],"MMMM")</f>
        <v>Marzo</v>
      </c>
      <c r="C36" s="42" t="str">
        <f>IFERROR(VLOOKUP(REPORTE[[#This Row],[Lote]],PROYECCION[],3,FALSE),"")</f>
        <v>Don Nico</v>
      </c>
      <c r="D36" s="47" t="str">
        <f>IFERROR(VLOOKUP(REPORTE[[#This Row],[Lote]],PROYECCION[],2,FALSE),"")</f>
        <v>Agricola Guili S.A.C</v>
      </c>
      <c r="E36" s="55" t="s">
        <v>47</v>
      </c>
      <c r="F36" s="53">
        <f>IFERROR(VLOOKUP(REPORTE[[#This Row],[Lote]],PROYECCION[],5,FALSE),"")</f>
        <v>9.7542016806722689</v>
      </c>
      <c r="G36" s="42" t="str">
        <f>IFERROR(VLOOKUP(REPORTE[[#This Row],[Lote]],PROYECCION[],4,FALSE),"")</f>
        <v>Hass</v>
      </c>
      <c r="H36" s="42" t="str">
        <f>IFERROR(VLOOKUP(REPORTE[[#This Row],[Lote]],PROYECCION[],6,FALSE),"")</f>
        <v>Negra</v>
      </c>
      <c r="I36" s="96"/>
      <c r="J36" s="15"/>
      <c r="K36" s="44"/>
      <c r="L36" s="42" t="s">
        <v>75</v>
      </c>
      <c r="M36" s="47"/>
      <c r="N36" s="52">
        <v>45377</v>
      </c>
      <c r="O36" s="50">
        <v>1</v>
      </c>
      <c r="P36" s="48">
        <f>IFERROR((+R36/O36),"")</f>
        <v>0</v>
      </c>
      <c r="Q36" s="56">
        <f>+S36/10</f>
        <v>0</v>
      </c>
      <c r="R36" s="63"/>
      <c r="S36" s="57">
        <f>+R36*T36</f>
        <v>0</v>
      </c>
      <c r="T36" s="61"/>
      <c r="U36" s="58">
        <f>R36*V36</f>
        <v>0</v>
      </c>
      <c r="V36" s="61"/>
      <c r="W36" s="57">
        <f>R36*X36</f>
        <v>0</v>
      </c>
      <c r="X36" s="61"/>
      <c r="Y36" s="59">
        <v>483.5</v>
      </c>
      <c r="Z36" s="15">
        <f>R36+Y36</f>
        <v>483.5</v>
      </c>
      <c r="AA36" s="15">
        <f>IFERROR((Z36/F36),"")</f>
        <v>49.568382511307341</v>
      </c>
      <c r="AB36" s="58">
        <f>IFERROR(REPORTE[[#This Row],[Kg Exportados]]/REPORTE[[#This Row],[Ha]],"")</f>
        <v>0</v>
      </c>
      <c r="AC36" s="55" t="str">
        <f>IFERROR(VLOOKUP(REPORTE[[#This Row],[Lote]],PROYECCION[],16,FALSE),"")</f>
        <v>Cosechando</v>
      </c>
      <c r="AD36" s="64" t="s">
        <v>72</v>
      </c>
      <c r="AE36" s="2"/>
      <c r="AG36" s="2"/>
      <c r="AK36" s="2"/>
      <c r="AL36" s="2"/>
      <c r="AN36" s="2"/>
    </row>
    <row r="37" spans="1:40" ht="14.25" customHeight="1" x14ac:dyDescent="0.25">
      <c r="A37" s="42">
        <f t="shared" ref="A37:A67" si="17">WEEKNUM(N37)</f>
        <v>13</v>
      </c>
      <c r="B37" s="42" t="str">
        <f>TEXT(REPORTE[[#This Row],[Fecha]],"MMMM")</f>
        <v>Marzo</v>
      </c>
      <c r="C37" s="42" t="str">
        <f>IFERROR(VLOOKUP(REPORTE[[#This Row],[Lote]],PROYECCION[],3,FALSE),"")</f>
        <v>Cuatro Vientos</v>
      </c>
      <c r="D37" s="47" t="str">
        <f>IFERROR(VLOOKUP(REPORTE[[#This Row],[Lote]],PROYECCION[],2,FALSE),"")</f>
        <v>Agricola Guili S.A.C</v>
      </c>
      <c r="E37" s="55" t="s">
        <v>23</v>
      </c>
      <c r="F37" s="53">
        <f>IFERROR(VLOOKUP(REPORTE[[#This Row],[Lote]],PROYECCION[],5,FALSE),"")</f>
        <v>9.5840336134453779</v>
      </c>
      <c r="G37" s="42" t="str">
        <f>IFERROR(VLOOKUP(REPORTE[[#This Row],[Lote]],PROYECCION[],4,FALSE),"")</f>
        <v>Hass</v>
      </c>
      <c r="H37" s="42" t="str">
        <f>IFERROR(VLOOKUP(REPORTE[[#This Row],[Lote]],PROYECCION[],6,FALSE),"")</f>
        <v>Negra</v>
      </c>
      <c r="I37" s="96"/>
      <c r="J37" s="15"/>
      <c r="K37" s="44"/>
      <c r="L37" s="42" t="s">
        <v>111</v>
      </c>
      <c r="M37" s="42" t="s">
        <v>112</v>
      </c>
      <c r="N37" s="52">
        <v>45378</v>
      </c>
      <c r="O37" s="85">
        <v>9</v>
      </c>
      <c r="P37" s="48">
        <f t="shared" ref="P37:P67" si="18">IFERROR((+R37/O37),"")</f>
        <v>426.72888888888889</v>
      </c>
      <c r="Q37" s="56">
        <f t="shared" ref="Q37:Q67" si="19">+S37/10</f>
        <v>362.20850299401161</v>
      </c>
      <c r="R37" s="86">
        <v>3840.56</v>
      </c>
      <c r="S37" s="57">
        <f t="shared" ref="S37:S67" si="20">+R37*T37</f>
        <v>3622.0850299401163</v>
      </c>
      <c r="T37" s="87">
        <v>0.94311377245508898</v>
      </c>
      <c r="U37" s="58">
        <f t="shared" ref="U37:U67" si="21">R37*V37</f>
        <v>66.836092814371085</v>
      </c>
      <c r="V37" s="87">
        <v>1.74026946107784E-2</v>
      </c>
      <c r="W37" s="57">
        <f t="shared" ref="W37:W67" si="22">R37*X37</f>
        <v>151.63887724550884</v>
      </c>
      <c r="X37" s="87">
        <v>3.9483532934131697E-2</v>
      </c>
      <c r="Y37" s="59"/>
      <c r="Z37" s="15">
        <f t="shared" ref="Z37:Z67" si="23">R37+Y37</f>
        <v>3840.56</v>
      </c>
      <c r="AA37" s="15">
        <f t="shared" ref="AA37:AA67" si="24">IFERROR((Z37/F37),"")</f>
        <v>400.72480491012715</v>
      </c>
      <c r="AB37" s="69">
        <f>IFERROR(REPORTE[[#This Row],[Kg Exportados]]/REPORTE[[#This Row],[Ha]],"")</f>
        <v>377.92908247511957</v>
      </c>
      <c r="AC37" s="65" t="str">
        <f>IFERROR(VLOOKUP(REPORTE[[#This Row],[Lote]],PROYECCION[],16,FALSE),"")</f>
        <v>Cosechando</v>
      </c>
      <c r="AD37" s="66" t="s">
        <v>32</v>
      </c>
      <c r="AE37" s="2"/>
      <c r="AG37" s="2"/>
      <c r="AK37" s="2"/>
      <c r="AL37" s="2"/>
      <c r="AN37" s="2"/>
    </row>
    <row r="38" spans="1:40" ht="14.25" customHeight="1" x14ac:dyDescent="0.25">
      <c r="A38" s="42">
        <f t="shared" ref="A38:A46" si="25">WEEKNUM(N38)</f>
        <v>13</v>
      </c>
      <c r="B38" s="42" t="str">
        <f>TEXT(REPORTE[[#This Row],[Fecha]],"MMMM")</f>
        <v>Marzo</v>
      </c>
      <c r="C38" s="42" t="str">
        <f>IFERROR(VLOOKUP(REPORTE[[#This Row],[Lote]],PROYECCION[],3,FALSE),"")</f>
        <v>Cuatro Vientos</v>
      </c>
      <c r="D38" s="47" t="str">
        <f>IFERROR(VLOOKUP(REPORTE[[#This Row],[Lote]],PROYECCION[],2,FALSE),"")</f>
        <v>Agricola Guili S.A.C</v>
      </c>
      <c r="E38" s="55" t="s">
        <v>24</v>
      </c>
      <c r="F38" s="53">
        <f>IFERROR(VLOOKUP(REPORTE[[#This Row],[Lote]],PROYECCION[],5,FALSE),"")</f>
        <v>9.5567226890756309</v>
      </c>
      <c r="G38" s="42" t="str">
        <f>IFERROR(VLOOKUP(REPORTE[[#This Row],[Lote]],PROYECCION[],4,FALSE),"")</f>
        <v>Hass</v>
      </c>
      <c r="H38" s="42" t="str">
        <f>IFERROR(VLOOKUP(REPORTE[[#This Row],[Lote]],PROYECCION[],6,FALSE),"")</f>
        <v>Negra</v>
      </c>
      <c r="I38" s="96"/>
      <c r="J38" s="15"/>
      <c r="K38" s="44"/>
      <c r="L38" s="42" t="s">
        <v>111</v>
      </c>
      <c r="M38" s="42" t="s">
        <v>112</v>
      </c>
      <c r="N38" s="52">
        <v>45378</v>
      </c>
      <c r="O38" s="85">
        <v>4</v>
      </c>
      <c r="P38" s="48">
        <f t="shared" ref="P38:P46" si="26">IFERROR((+R38/O38),"")</f>
        <v>426.72750000000002</v>
      </c>
      <c r="Q38" s="56">
        <f t="shared" ref="Q38:Q46" si="27">+S38/10</f>
        <v>160.9810329341316</v>
      </c>
      <c r="R38" s="86">
        <v>1706.91</v>
      </c>
      <c r="S38" s="57">
        <f t="shared" ref="S38:S46" si="28">+R38*T38</f>
        <v>1609.810329341316</v>
      </c>
      <c r="T38" s="87">
        <v>0.94311377245508898</v>
      </c>
      <c r="U38" s="58">
        <f t="shared" ref="U38:U46" si="29">R38*V38</f>
        <v>29.704833458083758</v>
      </c>
      <c r="V38" s="87">
        <v>1.74026946107784E-2</v>
      </c>
      <c r="W38" s="57">
        <f t="shared" ref="W38:W46" si="30">R38*X38</f>
        <v>67.394837200598744</v>
      </c>
      <c r="X38" s="87">
        <v>3.9483532934131697E-2</v>
      </c>
      <c r="Y38" s="59"/>
      <c r="Z38" s="15">
        <f t="shared" ref="Z38:Z46" si="31">R38+Y38</f>
        <v>1706.91</v>
      </c>
      <c r="AA38" s="15">
        <f t="shared" ref="AA38:AA46" si="32">IFERROR((Z38/F38),"")</f>
        <v>178.60830072543416</v>
      </c>
      <c r="AB38" s="69">
        <f>IFERROR(REPORTE[[#This Row],[Kg Exportados]]/REPORTE[[#This Row],[Ha]],"")</f>
        <v>168.44794828895721</v>
      </c>
      <c r="AC38" s="65" t="str">
        <f>IFERROR(VLOOKUP(REPORTE[[#This Row],[Lote]],PROYECCION[],16,FALSE),"")</f>
        <v>Cosechando</v>
      </c>
      <c r="AD38" s="66" t="s">
        <v>32</v>
      </c>
      <c r="AE38" s="2"/>
      <c r="AG38" s="2"/>
      <c r="AK38" s="2"/>
      <c r="AL38" s="2"/>
      <c r="AN38" s="2"/>
    </row>
    <row r="39" spans="1:40" ht="14.25" customHeight="1" x14ac:dyDescent="0.25">
      <c r="A39" s="42">
        <f t="shared" si="25"/>
        <v>13</v>
      </c>
      <c r="B39" s="42" t="str">
        <f>TEXT(REPORTE[[#This Row],[Fecha]],"MMMM")</f>
        <v>Marzo</v>
      </c>
      <c r="C39" s="42" t="str">
        <f>IFERROR(VLOOKUP(REPORTE[[#This Row],[Lote]],PROYECCION[],3,FALSE),"")</f>
        <v>Cuatro Vientos</v>
      </c>
      <c r="D39" s="47" t="str">
        <f>IFERROR(VLOOKUP(REPORTE[[#This Row],[Lote]],PROYECCION[],2,FALSE),"")</f>
        <v>Agricola Guili S.A.C</v>
      </c>
      <c r="E39" s="55" t="s">
        <v>25</v>
      </c>
      <c r="F39" s="53">
        <f>IFERROR(VLOOKUP(REPORTE[[#This Row],[Lote]],PROYECCION[],5,FALSE),"")</f>
        <v>10.590336134453782</v>
      </c>
      <c r="G39" s="42" t="str">
        <f>IFERROR(VLOOKUP(REPORTE[[#This Row],[Lote]],PROYECCION[],4,FALSE),"")</f>
        <v>Hass</v>
      </c>
      <c r="H39" s="42" t="str">
        <f>IFERROR(VLOOKUP(REPORTE[[#This Row],[Lote]],PROYECCION[],6,FALSE),"")</f>
        <v>Negra</v>
      </c>
      <c r="I39" s="96"/>
      <c r="J39" s="15"/>
      <c r="K39" s="44"/>
      <c r="L39" s="42" t="s">
        <v>111</v>
      </c>
      <c r="M39" s="42" t="s">
        <v>112</v>
      </c>
      <c r="N39" s="52">
        <v>45378</v>
      </c>
      <c r="O39" s="85">
        <v>5</v>
      </c>
      <c r="P39" s="48">
        <f t="shared" si="26"/>
        <v>426.72799999999995</v>
      </c>
      <c r="Q39" s="56">
        <f t="shared" si="27"/>
        <v>201.22652694610758</v>
      </c>
      <c r="R39" s="86">
        <v>2133.64</v>
      </c>
      <c r="S39" s="57">
        <f t="shared" si="28"/>
        <v>2012.2652694610758</v>
      </c>
      <c r="T39" s="87">
        <v>0.94311377245508898</v>
      </c>
      <c r="U39" s="58">
        <f t="shared" si="29"/>
        <v>37.131085329341225</v>
      </c>
      <c r="V39" s="87">
        <v>1.74026946107784E-2</v>
      </c>
      <c r="W39" s="57">
        <f t="shared" si="30"/>
        <v>84.243645209580748</v>
      </c>
      <c r="X39" s="87">
        <v>3.9483532934131697E-2</v>
      </c>
      <c r="Y39" s="59"/>
      <c r="Z39" s="15">
        <f t="shared" si="31"/>
        <v>2133.64</v>
      </c>
      <c r="AA39" s="15">
        <f t="shared" si="32"/>
        <v>201.47047014481251</v>
      </c>
      <c r="AB39" s="69">
        <f>IFERROR(REPORTE[[#This Row],[Kg Exportados]]/REPORTE[[#This Row],[Ha]],"")</f>
        <v>190.00957513657451</v>
      </c>
      <c r="AC39" s="65" t="str">
        <f>IFERROR(VLOOKUP(REPORTE[[#This Row],[Lote]],PROYECCION[],16,FALSE),"")</f>
        <v>Cosechando</v>
      </c>
      <c r="AD39" s="66" t="s">
        <v>32</v>
      </c>
      <c r="AE39" s="2"/>
      <c r="AG39" s="2"/>
      <c r="AK39" s="2"/>
      <c r="AL39" s="2"/>
      <c r="AN39" s="2"/>
    </row>
    <row r="40" spans="1:40" ht="14.25" customHeight="1" x14ac:dyDescent="0.25">
      <c r="A40" s="42">
        <f t="shared" si="25"/>
        <v>13</v>
      </c>
      <c r="B40" s="42" t="str">
        <f>TEXT(REPORTE[[#This Row],[Fecha]],"MMMM")</f>
        <v>Marzo</v>
      </c>
      <c r="C40" s="42" t="str">
        <f>IFERROR(VLOOKUP(REPORTE[[#This Row],[Lote]],PROYECCION[],3,FALSE),"")</f>
        <v>Cuatro Vientos</v>
      </c>
      <c r="D40" s="47" t="str">
        <f>IFERROR(VLOOKUP(REPORTE[[#This Row],[Lote]],PROYECCION[],2,FALSE),"")</f>
        <v>Agricola Guili S.A.C</v>
      </c>
      <c r="E40" s="55" t="s">
        <v>21</v>
      </c>
      <c r="F40" s="53">
        <f>IFERROR(VLOOKUP(REPORTE[[#This Row],[Lote]],PROYECCION[],5,FALSE),"")</f>
        <v>9.7710084033613445</v>
      </c>
      <c r="G40" s="42" t="str">
        <f>IFERROR(VLOOKUP(REPORTE[[#This Row],[Lote]],PROYECCION[],4,FALSE),"")</f>
        <v>Hass</v>
      </c>
      <c r="H40" s="42" t="str">
        <f>IFERROR(VLOOKUP(REPORTE[[#This Row],[Lote]],PROYECCION[],6,FALSE),"")</f>
        <v>Negra</v>
      </c>
      <c r="I40" s="96"/>
      <c r="J40" s="15"/>
      <c r="K40" s="44"/>
      <c r="L40" s="42" t="s">
        <v>111</v>
      </c>
      <c r="M40" s="42" t="s">
        <v>112</v>
      </c>
      <c r="N40" s="52">
        <v>45378</v>
      </c>
      <c r="O40" s="85">
        <v>5</v>
      </c>
      <c r="P40" s="48">
        <f t="shared" si="26"/>
        <v>426.72799999999995</v>
      </c>
      <c r="Q40" s="56">
        <f t="shared" si="27"/>
        <v>201.22652694610758</v>
      </c>
      <c r="R40" s="86">
        <v>2133.64</v>
      </c>
      <c r="S40" s="57">
        <f t="shared" si="28"/>
        <v>2012.2652694610758</v>
      </c>
      <c r="T40" s="87">
        <v>0.94311377245508898</v>
      </c>
      <c r="U40" s="58">
        <f t="shared" si="29"/>
        <v>37.131085329341225</v>
      </c>
      <c r="V40" s="87">
        <v>1.74026946107784E-2</v>
      </c>
      <c r="W40" s="57">
        <f t="shared" si="30"/>
        <v>84.243645209580748</v>
      </c>
      <c r="X40" s="87">
        <v>3.9483532934131697E-2</v>
      </c>
      <c r="Y40" s="59"/>
      <c r="Z40" s="15">
        <f t="shared" si="31"/>
        <v>2133.64</v>
      </c>
      <c r="AA40" s="15">
        <f t="shared" si="32"/>
        <v>218.36436035261232</v>
      </c>
      <c r="AB40" s="69">
        <f>IFERROR(REPORTE[[#This Row],[Kg Exportados]]/REPORTE[[#This Row],[Ha]],"")</f>
        <v>205.94243566189468</v>
      </c>
      <c r="AC40" s="65" t="str">
        <f>IFERROR(VLOOKUP(REPORTE[[#This Row],[Lote]],PROYECCION[],16,FALSE),"")</f>
        <v>Cosechando</v>
      </c>
      <c r="AD40" s="66" t="s">
        <v>32</v>
      </c>
      <c r="AE40" s="2"/>
      <c r="AG40" s="2"/>
      <c r="AK40" s="2"/>
      <c r="AL40" s="2"/>
      <c r="AN40" s="2"/>
    </row>
    <row r="41" spans="1:40" ht="14.25" customHeight="1" x14ac:dyDescent="0.25">
      <c r="A41" s="42">
        <f t="shared" si="25"/>
        <v>13</v>
      </c>
      <c r="B41" s="42" t="str">
        <f>TEXT(REPORTE[[#This Row],[Fecha]],"MMMM")</f>
        <v>Marzo</v>
      </c>
      <c r="C41" s="42" t="str">
        <f>IFERROR(VLOOKUP(REPORTE[[#This Row],[Lote]],PROYECCION[],3,FALSE),"")</f>
        <v>Cuatro Vientos</v>
      </c>
      <c r="D41" s="47" t="str">
        <f>IFERROR(VLOOKUP(REPORTE[[#This Row],[Lote]],PROYECCION[],2,FALSE),"")</f>
        <v>Agricola Guili S.A.C</v>
      </c>
      <c r="E41" s="55" t="s">
        <v>37</v>
      </c>
      <c r="F41" s="53">
        <f>IFERROR(VLOOKUP(REPORTE[[#This Row],[Lote]],PROYECCION[],5,FALSE),"")</f>
        <v>9.8487394957983199</v>
      </c>
      <c r="G41" s="42" t="str">
        <f>IFERROR(VLOOKUP(REPORTE[[#This Row],[Lote]],PROYECCION[],4,FALSE),"")</f>
        <v>Hass</v>
      </c>
      <c r="H41" s="42" t="str">
        <f>IFERROR(VLOOKUP(REPORTE[[#This Row],[Lote]],PROYECCION[],6,FALSE),"")</f>
        <v>Negra</v>
      </c>
      <c r="I41" s="96"/>
      <c r="J41" s="15"/>
      <c r="K41" s="44"/>
      <c r="L41" s="42" t="s">
        <v>111</v>
      </c>
      <c r="M41" s="42" t="s">
        <v>112</v>
      </c>
      <c r="N41" s="52">
        <v>45378</v>
      </c>
      <c r="O41" s="85">
        <v>11</v>
      </c>
      <c r="P41" s="48">
        <f t="shared" si="26"/>
        <v>426.72909090909093</v>
      </c>
      <c r="Q41" s="56">
        <f t="shared" si="27"/>
        <v>442.69949101796374</v>
      </c>
      <c r="R41" s="86">
        <v>4694.0200000000004</v>
      </c>
      <c r="S41" s="57">
        <f t="shared" si="28"/>
        <v>4426.9949101796374</v>
      </c>
      <c r="T41" s="87">
        <v>0.94311377245508898</v>
      </c>
      <c r="U41" s="58">
        <f t="shared" si="29"/>
        <v>81.688596556886026</v>
      </c>
      <c r="V41" s="87">
        <v>1.74026946107784E-2</v>
      </c>
      <c r="W41" s="57">
        <f t="shared" si="30"/>
        <v>185.33649326347287</v>
      </c>
      <c r="X41" s="87">
        <v>3.9483532934131697E-2</v>
      </c>
      <c r="Y41" s="59"/>
      <c r="Z41" s="15">
        <f t="shared" si="31"/>
        <v>4694.0200000000004</v>
      </c>
      <c r="AA41" s="15">
        <f t="shared" si="32"/>
        <v>476.61124573378839</v>
      </c>
      <c r="AB41" s="69">
        <f>IFERROR(REPORTE[[#This Row],[Kg Exportados]]/REPORTE[[#This Row],[Ha]],"")</f>
        <v>449.49862995851265</v>
      </c>
      <c r="AC41" s="65" t="str">
        <f>IFERROR(VLOOKUP(REPORTE[[#This Row],[Lote]],PROYECCION[],16,FALSE),"")</f>
        <v>Cosechando</v>
      </c>
      <c r="AD41" s="66" t="s">
        <v>32</v>
      </c>
      <c r="AE41" s="2"/>
      <c r="AG41" s="2"/>
      <c r="AK41" s="2"/>
      <c r="AL41" s="2"/>
      <c r="AN41" s="2"/>
    </row>
    <row r="42" spans="1:40" ht="14.25" customHeight="1" x14ac:dyDescent="0.25">
      <c r="A42" s="42">
        <f t="shared" si="25"/>
        <v>13</v>
      </c>
      <c r="B42" s="42" t="str">
        <f>TEXT(REPORTE[[#This Row],[Fecha]],"MMMM")</f>
        <v>Marzo</v>
      </c>
      <c r="C42" s="42" t="str">
        <f>IFERROR(VLOOKUP(REPORTE[[#This Row],[Lote]],PROYECCION[],3,FALSE),"")</f>
        <v>Cuatro Vientos</v>
      </c>
      <c r="D42" s="47" t="str">
        <f>IFERROR(VLOOKUP(REPORTE[[#This Row],[Lote]],PROYECCION[],2,FALSE),"")</f>
        <v>Agricola Guili S.A.C</v>
      </c>
      <c r="E42" s="55" t="s">
        <v>38</v>
      </c>
      <c r="F42" s="53">
        <f>IFERROR(VLOOKUP(REPORTE[[#This Row],[Lote]],PROYECCION[],5,FALSE),"")</f>
        <v>9.8382352941176467</v>
      </c>
      <c r="G42" s="42" t="str">
        <f>IFERROR(VLOOKUP(REPORTE[[#This Row],[Lote]],PROYECCION[],4,FALSE),"")</f>
        <v>Hass</v>
      </c>
      <c r="H42" s="42" t="str">
        <f>IFERROR(VLOOKUP(REPORTE[[#This Row],[Lote]],PROYECCION[],6,FALSE),"")</f>
        <v>Negra</v>
      </c>
      <c r="I42" s="96"/>
      <c r="J42" s="15"/>
      <c r="K42" s="44"/>
      <c r="L42" s="42" t="s">
        <v>111</v>
      </c>
      <c r="M42" s="42" t="s">
        <v>112</v>
      </c>
      <c r="N42" s="52">
        <v>45378</v>
      </c>
      <c r="O42" s="85">
        <v>1</v>
      </c>
      <c r="P42" s="48">
        <f t="shared" si="26"/>
        <v>426.73</v>
      </c>
      <c r="Q42" s="56">
        <f t="shared" si="27"/>
        <v>40.245494011976014</v>
      </c>
      <c r="R42" s="86">
        <v>426.73</v>
      </c>
      <c r="S42" s="57">
        <f t="shared" si="28"/>
        <v>402.45494011976012</v>
      </c>
      <c r="T42" s="87">
        <v>0.94311377245508898</v>
      </c>
      <c r="U42" s="58">
        <f t="shared" si="29"/>
        <v>7.4262518712574668</v>
      </c>
      <c r="V42" s="87">
        <v>1.74026946107784E-2</v>
      </c>
      <c r="W42" s="57">
        <f t="shared" si="30"/>
        <v>16.848808008982019</v>
      </c>
      <c r="X42" s="87">
        <v>3.9483532934131697E-2</v>
      </c>
      <c r="Y42" s="59"/>
      <c r="Z42" s="15">
        <f t="shared" si="31"/>
        <v>426.73</v>
      </c>
      <c r="AA42" s="15">
        <f t="shared" si="32"/>
        <v>43.374648729446939</v>
      </c>
      <c r="AB42" s="69">
        <f>IFERROR(REPORTE[[#This Row],[Kg Exportados]]/REPORTE[[#This Row],[Ha]],"")</f>
        <v>40.907228592143035</v>
      </c>
      <c r="AC42" s="65" t="str">
        <f>IFERROR(VLOOKUP(REPORTE[[#This Row],[Lote]],PROYECCION[],16,FALSE),"")</f>
        <v>Cosechando</v>
      </c>
      <c r="AD42" s="66" t="s">
        <v>32</v>
      </c>
      <c r="AE42" s="2"/>
      <c r="AG42" s="2"/>
      <c r="AK42" s="2"/>
      <c r="AL42" s="2"/>
      <c r="AN42" s="2"/>
    </row>
    <row r="43" spans="1:40" ht="14.25" customHeight="1" x14ac:dyDescent="0.25">
      <c r="A43" s="42">
        <f t="shared" si="25"/>
        <v>13</v>
      </c>
      <c r="B43" s="42" t="str">
        <f>TEXT(REPORTE[[#This Row],[Fecha]],"MMMM")</f>
        <v>Marzo</v>
      </c>
      <c r="C43" s="42" t="str">
        <f>IFERROR(VLOOKUP(REPORTE[[#This Row],[Lote]],PROYECCION[],3,FALSE),"")</f>
        <v>Cuatro Vientos</v>
      </c>
      <c r="D43" s="47" t="str">
        <f>IFERROR(VLOOKUP(REPORTE[[#This Row],[Lote]],PROYECCION[],2,FALSE),"")</f>
        <v>Agricola Guili S.A.C</v>
      </c>
      <c r="E43" s="55" t="s">
        <v>38</v>
      </c>
      <c r="F43" s="53">
        <f>IFERROR(VLOOKUP(REPORTE[[#This Row],[Lote]],PROYECCION[],5,FALSE),"")</f>
        <v>9.8382352941176467</v>
      </c>
      <c r="G43" s="42" t="str">
        <f>IFERROR(VLOOKUP(REPORTE[[#This Row],[Lote]],PROYECCION[],4,FALSE),"")</f>
        <v>Hass</v>
      </c>
      <c r="H43" s="42" t="str">
        <f>IFERROR(VLOOKUP(REPORTE[[#This Row],[Lote]],PROYECCION[],6,FALSE),"")</f>
        <v>Negra</v>
      </c>
      <c r="I43" s="96"/>
      <c r="J43" s="15"/>
      <c r="K43" s="44"/>
      <c r="L43" s="42" t="s">
        <v>111</v>
      </c>
      <c r="M43" s="42" t="s">
        <v>112</v>
      </c>
      <c r="N43" s="52">
        <v>45378</v>
      </c>
      <c r="O43" s="85">
        <v>7</v>
      </c>
      <c r="P43" s="48">
        <f t="shared" si="26"/>
        <v>433.92857142857144</v>
      </c>
      <c r="Q43" s="56">
        <f t="shared" si="27"/>
        <v>286.47080838323325</v>
      </c>
      <c r="R43" s="86">
        <v>3037.5</v>
      </c>
      <c r="S43" s="57">
        <f t="shared" si="28"/>
        <v>2864.7080838323327</v>
      </c>
      <c r="T43" s="87">
        <v>0.94311377245508898</v>
      </c>
      <c r="U43" s="58">
        <f t="shared" si="29"/>
        <v>52.86068488023939</v>
      </c>
      <c r="V43" s="87">
        <v>1.74026946107784E-2</v>
      </c>
      <c r="W43" s="57">
        <f t="shared" si="30"/>
        <v>119.93123128742504</v>
      </c>
      <c r="X43" s="87">
        <v>3.9483532934131697E-2</v>
      </c>
      <c r="Y43" s="59"/>
      <c r="Z43" s="15">
        <f t="shared" si="31"/>
        <v>3037.5</v>
      </c>
      <c r="AA43" s="15">
        <f t="shared" si="32"/>
        <v>308.74439461883406</v>
      </c>
      <c r="AB43" s="69">
        <f>IFERROR(REPORTE[[#This Row],[Kg Exportados]]/REPORTE[[#This Row],[Ha]],"")</f>
        <v>291.1810907333313</v>
      </c>
      <c r="AC43" s="65" t="str">
        <f>IFERROR(VLOOKUP(REPORTE[[#This Row],[Lote]],PROYECCION[],16,FALSE),"")</f>
        <v>Cosechando</v>
      </c>
      <c r="AD43" s="66" t="s">
        <v>32</v>
      </c>
      <c r="AE43" s="2"/>
      <c r="AG43" s="2"/>
      <c r="AK43" s="2"/>
      <c r="AL43" s="2"/>
      <c r="AN43" s="2"/>
    </row>
    <row r="44" spans="1:40" ht="14.25" customHeight="1" x14ac:dyDescent="0.25">
      <c r="A44" s="42">
        <f t="shared" si="25"/>
        <v>13</v>
      </c>
      <c r="B44" s="42" t="str">
        <f>TEXT(REPORTE[[#This Row],[Fecha]],"MMMM")</f>
        <v>Marzo</v>
      </c>
      <c r="C44" s="42" t="str">
        <f>IFERROR(VLOOKUP(REPORTE[[#This Row],[Lote]],PROYECCION[],3,FALSE),"")</f>
        <v>Cuatro Vientos</v>
      </c>
      <c r="D44" s="47" t="str">
        <f>IFERROR(VLOOKUP(REPORTE[[#This Row],[Lote]],PROYECCION[],2,FALSE),"")</f>
        <v>Agricola Guili S.A.C</v>
      </c>
      <c r="E44" s="55" t="s">
        <v>36</v>
      </c>
      <c r="F44" s="53">
        <f>IFERROR(VLOOKUP(REPORTE[[#This Row],[Lote]],PROYECCION[],5,FALSE),"")</f>
        <v>10.243697478991596</v>
      </c>
      <c r="G44" s="42" t="str">
        <f>IFERROR(VLOOKUP(REPORTE[[#This Row],[Lote]],PROYECCION[],4,FALSE),"")</f>
        <v>Hass</v>
      </c>
      <c r="H44" s="42" t="str">
        <f>IFERROR(VLOOKUP(REPORTE[[#This Row],[Lote]],PROYECCION[],6,FALSE),"")</f>
        <v>Negra</v>
      </c>
      <c r="I44" s="96"/>
      <c r="J44" s="15"/>
      <c r="K44" s="44"/>
      <c r="L44" s="42" t="s">
        <v>111</v>
      </c>
      <c r="M44" s="42" t="s">
        <v>112</v>
      </c>
      <c r="N44" s="52">
        <v>45378</v>
      </c>
      <c r="O44" s="85">
        <v>4</v>
      </c>
      <c r="P44" s="48">
        <f t="shared" si="26"/>
        <v>433.93</v>
      </c>
      <c r="Q44" s="56">
        <f t="shared" si="27"/>
        <v>163.6981437125747</v>
      </c>
      <c r="R44" s="86">
        <v>1735.72</v>
      </c>
      <c r="S44" s="57">
        <f t="shared" si="28"/>
        <v>1636.9814371257471</v>
      </c>
      <c r="T44" s="87">
        <v>0.94311377245508898</v>
      </c>
      <c r="U44" s="58">
        <f t="shared" si="29"/>
        <v>30.206205089820283</v>
      </c>
      <c r="V44" s="87">
        <v>1.74026946107784E-2</v>
      </c>
      <c r="W44" s="57">
        <f t="shared" si="30"/>
        <v>68.532357784431071</v>
      </c>
      <c r="X44" s="87">
        <v>3.9483532934131697E-2</v>
      </c>
      <c r="Y44" s="59"/>
      <c r="Z44" s="15">
        <f t="shared" si="31"/>
        <v>1735.72</v>
      </c>
      <c r="AA44" s="15">
        <f t="shared" si="32"/>
        <v>169.44272354388846</v>
      </c>
      <c r="AB44" s="69">
        <f>IFERROR(REPORTE[[#This Row],[Kg Exportados]]/REPORTE[[#This Row],[Ha]],"")</f>
        <v>159.80376621654136</v>
      </c>
      <c r="AC44" s="65" t="str">
        <f>IFERROR(VLOOKUP(REPORTE[[#This Row],[Lote]],PROYECCION[],16,FALSE),"")</f>
        <v>Cosechando</v>
      </c>
      <c r="AD44" s="66" t="s">
        <v>32</v>
      </c>
      <c r="AE44" s="2"/>
      <c r="AG44" s="2"/>
      <c r="AK44" s="2"/>
      <c r="AL44" s="2"/>
      <c r="AN44" s="2"/>
    </row>
    <row r="45" spans="1:40" ht="14.25" customHeight="1" x14ac:dyDescent="0.25">
      <c r="A45" s="42">
        <f t="shared" si="25"/>
        <v>13</v>
      </c>
      <c r="B45" s="42" t="str">
        <f>TEXT(REPORTE[[#This Row],[Fecha]],"MMMM")</f>
        <v>Marzo</v>
      </c>
      <c r="C45" s="42" t="str">
        <f>IFERROR(VLOOKUP(REPORTE[[#This Row],[Lote]],PROYECCION[],3,FALSE),"")</f>
        <v>Cuatro Vientos</v>
      </c>
      <c r="D45" s="47" t="str">
        <f>IFERROR(VLOOKUP(REPORTE[[#This Row],[Lote]],PROYECCION[],2,FALSE),"")</f>
        <v>Agricola Guili S.A.C</v>
      </c>
      <c r="E45" s="55" t="s">
        <v>35</v>
      </c>
      <c r="F45" s="53">
        <f>IFERROR(VLOOKUP(REPORTE[[#This Row],[Lote]],PROYECCION[],5,FALSE),"")</f>
        <v>9.5714285714285712</v>
      </c>
      <c r="G45" s="42" t="str">
        <f>IFERROR(VLOOKUP(REPORTE[[#This Row],[Lote]],PROYECCION[],4,FALSE),"")</f>
        <v>Hass</v>
      </c>
      <c r="H45" s="42" t="str">
        <f>IFERROR(VLOOKUP(REPORTE[[#This Row],[Lote]],PROYECCION[],6,FALSE),"")</f>
        <v>Negra</v>
      </c>
      <c r="I45" s="96"/>
      <c r="J45" s="15"/>
      <c r="K45" s="44"/>
      <c r="L45" s="42" t="s">
        <v>111</v>
      </c>
      <c r="M45" s="42" t="s">
        <v>112</v>
      </c>
      <c r="N45" s="52">
        <v>45378</v>
      </c>
      <c r="O45" s="85">
        <v>5</v>
      </c>
      <c r="P45" s="48">
        <f t="shared" si="26"/>
        <v>433.928</v>
      </c>
      <c r="Q45" s="56">
        <f t="shared" si="27"/>
        <v>204.62173652694591</v>
      </c>
      <c r="R45" s="86">
        <v>2169.64</v>
      </c>
      <c r="S45" s="57">
        <f t="shared" si="28"/>
        <v>2046.2173652694592</v>
      </c>
      <c r="T45" s="87">
        <v>0.94311377245508898</v>
      </c>
      <c r="U45" s="58">
        <f t="shared" si="29"/>
        <v>37.757582335329246</v>
      </c>
      <c r="V45" s="87">
        <v>1.74026946107784E-2</v>
      </c>
      <c r="W45" s="57">
        <f t="shared" si="30"/>
        <v>85.665052395209486</v>
      </c>
      <c r="X45" s="87">
        <v>3.9483532934131697E-2</v>
      </c>
      <c r="Y45" s="59"/>
      <c r="Z45" s="15">
        <f t="shared" si="31"/>
        <v>2169.64</v>
      </c>
      <c r="AA45" s="15">
        <f t="shared" si="32"/>
        <v>226.67880597014926</v>
      </c>
      <c r="AB45" s="69">
        <f>IFERROR(REPORTE[[#This Row],[Kg Exportados]]/REPORTE[[#This Row],[Ha]],"")</f>
        <v>213.78390383412261</v>
      </c>
      <c r="AC45" s="65" t="str">
        <f>IFERROR(VLOOKUP(REPORTE[[#This Row],[Lote]],PROYECCION[],16,FALSE),"")</f>
        <v>Cosechando</v>
      </c>
      <c r="AD45" s="66" t="s">
        <v>32</v>
      </c>
      <c r="AE45" s="2"/>
      <c r="AG45" s="2"/>
      <c r="AK45" s="2"/>
      <c r="AL45" s="2"/>
      <c r="AN45" s="2"/>
    </row>
    <row r="46" spans="1:40" ht="14.25" customHeight="1" x14ac:dyDescent="0.25">
      <c r="A46" s="42">
        <f t="shared" si="25"/>
        <v>13</v>
      </c>
      <c r="B46" s="42" t="str">
        <f>TEXT(REPORTE[[#This Row],[Fecha]],"MMMM")</f>
        <v>Marzo</v>
      </c>
      <c r="C46" s="42" t="str">
        <f>IFERROR(VLOOKUP(REPORTE[[#This Row],[Lote]],PROYECCION[],3,FALSE),"")</f>
        <v>El Marsano</v>
      </c>
      <c r="D46" s="47" t="str">
        <f>IFERROR(VLOOKUP(REPORTE[[#This Row],[Lote]],PROYECCION[],2,FALSE),"")</f>
        <v>Agricola Guili S.A.C</v>
      </c>
      <c r="E46" s="55" t="s">
        <v>19</v>
      </c>
      <c r="F46" s="53">
        <f>IFERROR(VLOOKUP(REPORTE[[#This Row],[Lote]],PROYECCION[],5,FALSE),"")</f>
        <v>10.72</v>
      </c>
      <c r="G46" s="42" t="str">
        <f>IFERROR(VLOOKUP(REPORTE[[#This Row],[Lote]],PROYECCION[],4,FALSE),"")</f>
        <v>Hass</v>
      </c>
      <c r="H46" s="42" t="str">
        <f>IFERROR(VLOOKUP(REPORTE[[#This Row],[Lote]],PROYECCION[],6,FALSE),"")</f>
        <v>Negra</v>
      </c>
      <c r="I46" s="96"/>
      <c r="J46" s="15"/>
      <c r="K46" s="44"/>
      <c r="L46" s="42" t="s">
        <v>111</v>
      </c>
      <c r="M46" s="42" t="s">
        <v>112</v>
      </c>
      <c r="N46" s="52">
        <v>45378</v>
      </c>
      <c r="O46" s="85">
        <v>5</v>
      </c>
      <c r="P46" s="48">
        <f t="shared" si="26"/>
        <v>433.928</v>
      </c>
      <c r="Q46" s="56">
        <f t="shared" si="27"/>
        <v>204.62173652694591</v>
      </c>
      <c r="R46" s="86">
        <v>2169.64</v>
      </c>
      <c r="S46" s="57">
        <f t="shared" si="28"/>
        <v>2046.2173652694592</v>
      </c>
      <c r="T46" s="87">
        <v>0.94311377245508898</v>
      </c>
      <c r="U46" s="58">
        <f t="shared" si="29"/>
        <v>37.757582335329246</v>
      </c>
      <c r="V46" s="87">
        <v>1.74026946107784E-2</v>
      </c>
      <c r="W46" s="57">
        <f t="shared" si="30"/>
        <v>85.665052395209486</v>
      </c>
      <c r="X46" s="87">
        <v>3.9483532934131697E-2</v>
      </c>
      <c r="Y46" s="59"/>
      <c r="Z46" s="15">
        <f t="shared" si="31"/>
        <v>2169.64</v>
      </c>
      <c r="AA46" s="15">
        <f t="shared" si="32"/>
        <v>202.39179104477608</v>
      </c>
      <c r="AB46" s="69">
        <f>IFERROR(REPORTE[[#This Row],[Kg Exportados]]/REPORTE[[#This Row],[Ha]],"")</f>
        <v>190.87848556618087</v>
      </c>
      <c r="AC46" s="65" t="str">
        <f>IFERROR(VLOOKUP(REPORTE[[#This Row],[Lote]],PROYECCION[],16,FALSE),"")</f>
        <v>Cosechando</v>
      </c>
      <c r="AD46" s="66" t="s">
        <v>32</v>
      </c>
      <c r="AE46" s="2"/>
      <c r="AG46" s="2"/>
      <c r="AK46" s="2"/>
      <c r="AL46" s="2"/>
      <c r="AN46" s="2"/>
    </row>
    <row r="47" spans="1:40" ht="14.25" customHeight="1" x14ac:dyDescent="0.25">
      <c r="A47" s="42">
        <f t="shared" si="17"/>
        <v>13</v>
      </c>
      <c r="B47" s="42" t="str">
        <f>TEXT(REPORTE[[#This Row],[Fecha]],"MMMM")</f>
        <v>Marzo</v>
      </c>
      <c r="C47" s="42" t="str">
        <f>IFERROR(VLOOKUP(REPORTE[[#This Row],[Lote]],PROYECCION[],3,FALSE),"")</f>
        <v/>
      </c>
      <c r="D47" s="47" t="str">
        <f>IFERROR(VLOOKUP(REPORTE[[#This Row],[Lote]],PROYECCION[],2,FALSE),"")</f>
        <v/>
      </c>
      <c r="E47" s="55"/>
      <c r="F47" s="53" t="str">
        <f>IFERROR(VLOOKUP(REPORTE[[#This Row],[Lote]],PROYECCION[],5,FALSE),"")</f>
        <v/>
      </c>
      <c r="G47" s="42" t="str">
        <f>IFERROR(VLOOKUP(REPORTE[[#This Row],[Lote]],PROYECCION[],4,FALSE),"")</f>
        <v/>
      </c>
      <c r="H47" s="42" t="str">
        <f>IFERROR(VLOOKUP(REPORTE[[#This Row],[Lote]],PROYECCION[],6,FALSE),"")</f>
        <v/>
      </c>
      <c r="I47" s="96">
        <v>10</v>
      </c>
      <c r="J47" s="15">
        <f>REPORTE[[#This Row],[% Calibre]]*SUM($S$37:$S$46)</f>
        <v>569.99999999999875</v>
      </c>
      <c r="K47" s="44">
        <v>2.51322751322751E-2</v>
      </c>
      <c r="L47" s="42"/>
      <c r="M47" s="42"/>
      <c r="N47" s="52">
        <v>45378</v>
      </c>
      <c r="O47" s="85"/>
      <c r="P47" s="48" t="str">
        <f t="shared" si="18"/>
        <v/>
      </c>
      <c r="Q47" s="56">
        <f t="shared" si="19"/>
        <v>0</v>
      </c>
      <c r="R47" s="86"/>
      <c r="S47" s="57">
        <f t="shared" si="20"/>
        <v>0</v>
      </c>
      <c r="T47" s="87"/>
      <c r="U47" s="58">
        <f t="shared" si="21"/>
        <v>0</v>
      </c>
      <c r="V47" s="87"/>
      <c r="W47" s="57">
        <f t="shared" si="22"/>
        <v>0</v>
      </c>
      <c r="X47" s="87"/>
      <c r="Y47" s="59"/>
      <c r="Z47" s="15">
        <f t="shared" si="23"/>
        <v>0</v>
      </c>
      <c r="AA47" s="15" t="str">
        <f t="shared" si="24"/>
        <v/>
      </c>
      <c r="AB47" s="69" t="str">
        <f>IFERROR(REPORTE[[#This Row],[Kg Exportados]]/REPORTE[[#This Row],[Ha]],"")</f>
        <v/>
      </c>
      <c r="AC47" s="65" t="str">
        <f>IFERROR(VLOOKUP(REPORTE[[#This Row],[Lote]],PROYECCION[],16,FALSE),"")</f>
        <v/>
      </c>
      <c r="AD47" s="66" t="s">
        <v>32</v>
      </c>
      <c r="AE47" s="2"/>
      <c r="AG47" s="2"/>
      <c r="AK47" s="2"/>
      <c r="AL47" s="2"/>
      <c r="AN47" s="2"/>
    </row>
    <row r="48" spans="1:40" ht="14.25" customHeight="1" x14ac:dyDescent="0.25">
      <c r="A48" s="42">
        <f t="shared" si="17"/>
        <v>13</v>
      </c>
      <c r="B48" s="42" t="str">
        <f>TEXT(REPORTE[[#This Row],[Fecha]],"MMMM")</f>
        <v>Marzo</v>
      </c>
      <c r="C48" s="42" t="str">
        <f>IFERROR(VLOOKUP(REPORTE[[#This Row],[Lote]],PROYECCION[],3,FALSE),"")</f>
        <v/>
      </c>
      <c r="D48" s="47" t="str">
        <f>IFERROR(VLOOKUP(REPORTE[[#This Row],[Lote]],PROYECCION[],2,FALSE),"")</f>
        <v/>
      </c>
      <c r="E48" s="55"/>
      <c r="F48" s="53" t="str">
        <f>IFERROR(VLOOKUP(REPORTE[[#This Row],[Lote]],PROYECCION[],5,FALSE),"")</f>
        <v/>
      </c>
      <c r="G48" s="42" t="str">
        <f>IFERROR(VLOOKUP(REPORTE[[#This Row],[Lote]],PROYECCION[],4,FALSE),"")</f>
        <v/>
      </c>
      <c r="H48" s="42" t="str">
        <f>IFERROR(VLOOKUP(REPORTE[[#This Row],[Lote]],PROYECCION[],6,FALSE),"")</f>
        <v/>
      </c>
      <c r="I48" s="96">
        <v>12</v>
      </c>
      <c r="J48" s="15">
        <f>REPORTE[[#This Row],[% Calibre]]*SUM($S$37:$S$46)</f>
        <v>5089.9999999999936</v>
      </c>
      <c r="K48" s="44">
        <v>0.22442680776014101</v>
      </c>
      <c r="L48" s="42"/>
      <c r="M48" s="42"/>
      <c r="N48" s="52">
        <v>45378</v>
      </c>
      <c r="O48" s="85"/>
      <c r="P48" s="48" t="str">
        <f t="shared" si="18"/>
        <v/>
      </c>
      <c r="Q48" s="56">
        <f t="shared" si="19"/>
        <v>0</v>
      </c>
      <c r="R48" s="86"/>
      <c r="S48" s="57">
        <f t="shared" si="20"/>
        <v>0</v>
      </c>
      <c r="T48" s="87"/>
      <c r="U48" s="58">
        <f t="shared" si="21"/>
        <v>0</v>
      </c>
      <c r="V48" s="87"/>
      <c r="W48" s="57">
        <f t="shared" si="22"/>
        <v>0</v>
      </c>
      <c r="X48" s="87"/>
      <c r="Y48" s="59"/>
      <c r="Z48" s="15">
        <f t="shared" si="23"/>
        <v>0</v>
      </c>
      <c r="AA48" s="15" t="str">
        <f t="shared" si="24"/>
        <v/>
      </c>
      <c r="AB48" s="69" t="str">
        <f>IFERROR(REPORTE[[#This Row],[Kg Exportados]]/REPORTE[[#This Row],[Ha]],"")</f>
        <v/>
      </c>
      <c r="AC48" s="65" t="str">
        <f>IFERROR(VLOOKUP(REPORTE[[#This Row],[Lote]],PROYECCION[],16,FALSE),"")</f>
        <v/>
      </c>
      <c r="AD48" s="66" t="s">
        <v>32</v>
      </c>
      <c r="AE48" s="2"/>
      <c r="AG48" s="2"/>
      <c r="AK48" s="2"/>
      <c r="AL48" s="2"/>
      <c r="AN48" s="2"/>
    </row>
    <row r="49" spans="1:40" ht="14.25" customHeight="1" x14ac:dyDescent="0.25">
      <c r="A49" s="42">
        <f t="shared" si="17"/>
        <v>13</v>
      </c>
      <c r="B49" s="42" t="str">
        <f>TEXT(REPORTE[[#This Row],[Fecha]],"MMMM")</f>
        <v>Marzo</v>
      </c>
      <c r="C49" s="42" t="str">
        <f>IFERROR(VLOOKUP(REPORTE[[#This Row],[Lote]],PROYECCION[],3,FALSE),"")</f>
        <v/>
      </c>
      <c r="D49" s="47" t="str">
        <f>IFERROR(VLOOKUP(REPORTE[[#This Row],[Lote]],PROYECCION[],2,FALSE),"")</f>
        <v/>
      </c>
      <c r="E49" s="55"/>
      <c r="F49" s="53" t="str">
        <f>IFERROR(VLOOKUP(REPORTE[[#This Row],[Lote]],PROYECCION[],5,FALSE),"")</f>
        <v/>
      </c>
      <c r="G49" s="42" t="str">
        <f>IFERROR(VLOOKUP(REPORTE[[#This Row],[Lote]],PROYECCION[],4,FALSE),"")</f>
        <v/>
      </c>
      <c r="H49" s="42" t="str">
        <f>IFERROR(VLOOKUP(REPORTE[[#This Row],[Lote]],PROYECCION[],6,FALSE),"")</f>
        <v/>
      </c>
      <c r="I49" s="96">
        <v>14</v>
      </c>
      <c r="J49" s="15">
        <f>REPORTE[[#This Row],[% Calibre]]*SUM($S$37:$S$46)</f>
        <v>10109.999999999973</v>
      </c>
      <c r="K49" s="44">
        <v>0.44576719576719498</v>
      </c>
      <c r="L49" s="42"/>
      <c r="M49" s="42"/>
      <c r="N49" s="52">
        <v>45378</v>
      </c>
      <c r="O49" s="85"/>
      <c r="P49" s="48" t="str">
        <f t="shared" si="18"/>
        <v/>
      </c>
      <c r="Q49" s="56">
        <f t="shared" si="19"/>
        <v>0</v>
      </c>
      <c r="R49" s="86"/>
      <c r="S49" s="57">
        <f t="shared" si="20"/>
        <v>0</v>
      </c>
      <c r="T49" s="87"/>
      <c r="U49" s="58">
        <f t="shared" si="21"/>
        <v>0</v>
      </c>
      <c r="V49" s="87"/>
      <c r="W49" s="57">
        <f t="shared" si="22"/>
        <v>0</v>
      </c>
      <c r="X49" s="87"/>
      <c r="Y49" s="59"/>
      <c r="Z49" s="15">
        <f t="shared" si="23"/>
        <v>0</v>
      </c>
      <c r="AA49" s="15" t="str">
        <f t="shared" si="24"/>
        <v/>
      </c>
      <c r="AB49" s="69" t="str">
        <f>IFERROR(REPORTE[[#This Row],[Kg Exportados]]/REPORTE[[#This Row],[Ha]],"")</f>
        <v/>
      </c>
      <c r="AC49" s="65" t="str">
        <f>IFERROR(VLOOKUP(REPORTE[[#This Row],[Lote]],PROYECCION[],16,FALSE),"")</f>
        <v/>
      </c>
      <c r="AD49" s="66" t="s">
        <v>32</v>
      </c>
      <c r="AE49" s="2"/>
      <c r="AG49" s="2"/>
      <c r="AK49" s="2"/>
      <c r="AL49" s="2"/>
      <c r="AN49" s="2"/>
    </row>
    <row r="50" spans="1:40" ht="14.25" customHeight="1" x14ac:dyDescent="0.25">
      <c r="A50" s="42">
        <f t="shared" si="17"/>
        <v>13</v>
      </c>
      <c r="B50" s="42" t="str">
        <f>TEXT(REPORTE[[#This Row],[Fecha]],"MMMM")</f>
        <v>Marzo</v>
      </c>
      <c r="C50" s="42" t="str">
        <f>IFERROR(VLOOKUP(REPORTE[[#This Row],[Lote]],PROYECCION[],3,FALSE),"")</f>
        <v/>
      </c>
      <c r="D50" s="47" t="str">
        <f>IFERROR(VLOOKUP(REPORTE[[#This Row],[Lote]],PROYECCION[],2,FALSE),"")</f>
        <v/>
      </c>
      <c r="E50" s="55"/>
      <c r="F50" s="53" t="str">
        <f>IFERROR(VLOOKUP(REPORTE[[#This Row],[Lote]],PROYECCION[],5,FALSE),"")</f>
        <v/>
      </c>
      <c r="G50" s="42" t="str">
        <f>IFERROR(VLOOKUP(REPORTE[[#This Row],[Lote]],PROYECCION[],4,FALSE),"")</f>
        <v/>
      </c>
      <c r="H50" s="42" t="str">
        <f>IFERROR(VLOOKUP(REPORTE[[#This Row],[Lote]],PROYECCION[],6,FALSE),"")</f>
        <v/>
      </c>
      <c r="I50" s="96">
        <v>16</v>
      </c>
      <c r="J50" s="15">
        <f>REPORTE[[#This Row],[% Calibre]]*SUM($S$37:$S$46)</f>
        <v>6839.9999999999809</v>
      </c>
      <c r="K50" s="44">
        <v>0.30158730158730102</v>
      </c>
      <c r="L50" s="42"/>
      <c r="M50" s="42"/>
      <c r="N50" s="52">
        <v>45378</v>
      </c>
      <c r="O50" s="85"/>
      <c r="P50" s="48" t="str">
        <f t="shared" si="18"/>
        <v/>
      </c>
      <c r="Q50" s="56">
        <f t="shared" si="19"/>
        <v>0</v>
      </c>
      <c r="R50" s="86"/>
      <c r="S50" s="57">
        <f t="shared" si="20"/>
        <v>0</v>
      </c>
      <c r="T50" s="87"/>
      <c r="U50" s="58">
        <f t="shared" si="21"/>
        <v>0</v>
      </c>
      <c r="V50" s="87"/>
      <c r="W50" s="57">
        <f t="shared" si="22"/>
        <v>0</v>
      </c>
      <c r="X50" s="87"/>
      <c r="Y50" s="59"/>
      <c r="Z50" s="15">
        <f t="shared" si="23"/>
        <v>0</v>
      </c>
      <c r="AA50" s="15" t="str">
        <f t="shared" si="24"/>
        <v/>
      </c>
      <c r="AB50" s="69" t="str">
        <f>IFERROR(REPORTE[[#This Row],[Kg Exportados]]/REPORTE[[#This Row],[Ha]],"")</f>
        <v/>
      </c>
      <c r="AC50" s="65" t="str">
        <f>IFERROR(VLOOKUP(REPORTE[[#This Row],[Lote]],PROYECCION[],16,FALSE),"")</f>
        <v/>
      </c>
      <c r="AD50" s="66" t="s">
        <v>32</v>
      </c>
      <c r="AE50" s="2"/>
      <c r="AG50" s="2"/>
      <c r="AK50" s="2"/>
      <c r="AL50" s="2"/>
      <c r="AN50" s="2"/>
    </row>
    <row r="51" spans="1:40" ht="14.25" customHeight="1" x14ac:dyDescent="0.25">
      <c r="A51" s="42">
        <f t="shared" si="17"/>
        <v>13</v>
      </c>
      <c r="B51" s="42" t="str">
        <f>TEXT(REPORTE[[#This Row],[Fecha]],"MMMM")</f>
        <v>Marzo</v>
      </c>
      <c r="C51" s="42" t="str">
        <f>IFERROR(VLOOKUP(REPORTE[[#This Row],[Lote]],PROYECCION[],3,FALSE),"")</f>
        <v/>
      </c>
      <c r="D51" s="47" t="str">
        <f>IFERROR(VLOOKUP(REPORTE[[#This Row],[Lote]],PROYECCION[],2,FALSE),"")</f>
        <v/>
      </c>
      <c r="E51" s="55"/>
      <c r="F51" s="53" t="str">
        <f>IFERROR(VLOOKUP(REPORTE[[#This Row],[Lote]],PROYECCION[],5,FALSE),"")</f>
        <v/>
      </c>
      <c r="G51" s="42" t="str">
        <f>IFERROR(VLOOKUP(REPORTE[[#This Row],[Lote]],PROYECCION[],4,FALSE),"")</f>
        <v/>
      </c>
      <c r="H51" s="42" t="str">
        <f>IFERROR(VLOOKUP(REPORTE[[#This Row],[Lote]],PROYECCION[],6,FALSE),"")</f>
        <v/>
      </c>
      <c r="I51" s="96">
        <v>20</v>
      </c>
      <c r="J51" s="15">
        <f>REPORTE[[#This Row],[% Calibre]]*SUM($S$37:$S$46)</f>
        <v>69.999999999999488</v>
      </c>
      <c r="K51" s="44">
        <v>3.0864197530864001E-3</v>
      </c>
      <c r="L51" s="42"/>
      <c r="M51" s="42"/>
      <c r="N51" s="52">
        <v>45378</v>
      </c>
      <c r="O51" s="85"/>
      <c r="P51" s="48" t="str">
        <f t="shared" si="18"/>
        <v/>
      </c>
      <c r="Q51" s="56">
        <f t="shared" si="19"/>
        <v>0</v>
      </c>
      <c r="R51" s="86"/>
      <c r="S51" s="57">
        <f t="shared" si="20"/>
        <v>0</v>
      </c>
      <c r="T51" s="87"/>
      <c r="U51" s="58">
        <f t="shared" si="21"/>
        <v>0</v>
      </c>
      <c r="V51" s="87"/>
      <c r="W51" s="57">
        <f t="shared" si="22"/>
        <v>0</v>
      </c>
      <c r="X51" s="87"/>
      <c r="Y51" s="59"/>
      <c r="Z51" s="15">
        <f t="shared" si="23"/>
        <v>0</v>
      </c>
      <c r="AA51" s="15" t="str">
        <f t="shared" si="24"/>
        <v/>
      </c>
      <c r="AB51" s="69" t="str">
        <f>IFERROR(REPORTE[[#This Row],[Kg Exportados]]/REPORTE[[#This Row],[Ha]],"")</f>
        <v/>
      </c>
      <c r="AC51" s="65" t="str">
        <f>IFERROR(VLOOKUP(REPORTE[[#This Row],[Lote]],PROYECCION[],16,FALSE),"")</f>
        <v/>
      </c>
      <c r="AD51" s="66" t="s">
        <v>32</v>
      </c>
      <c r="AE51" s="2"/>
      <c r="AG51" s="2"/>
      <c r="AK51" s="2"/>
      <c r="AL51" s="2"/>
      <c r="AN51" s="2"/>
    </row>
    <row r="52" spans="1:40" ht="14.25" customHeight="1" x14ac:dyDescent="0.25">
      <c r="A52" s="42">
        <f t="shared" ref="A52:A57" si="33">WEEKNUM(N52)</f>
        <v>13</v>
      </c>
      <c r="B52" s="42" t="str">
        <f>TEXT(REPORTE[[#This Row],[Fecha]],"MMMM")</f>
        <v>Marzo</v>
      </c>
      <c r="C52" s="42" t="str">
        <f>IFERROR(VLOOKUP(REPORTE[[#This Row],[Lote]],PROYECCION[],3,FALSE),"")</f>
        <v>Don Nico</v>
      </c>
      <c r="D52" s="47" t="str">
        <f>IFERROR(VLOOKUP(REPORTE[[#This Row],[Lote]],PROYECCION[],2,FALSE),"")</f>
        <v>Agricola Guili S.A.C</v>
      </c>
      <c r="E52" s="55" t="s">
        <v>45</v>
      </c>
      <c r="F52" s="53">
        <f>IFERROR(VLOOKUP(REPORTE[[#This Row],[Lote]],PROYECCION[],5,FALSE),"")</f>
        <v>11.756302521008404</v>
      </c>
      <c r="G52" s="42" t="str">
        <f>IFERROR(VLOOKUP(REPORTE[[#This Row],[Lote]],PROYECCION[],4,FALSE),"")</f>
        <v>Hass</v>
      </c>
      <c r="H52" s="42" t="str">
        <f>IFERROR(VLOOKUP(REPORTE[[#This Row],[Lote]],PROYECCION[],6,FALSE),"")</f>
        <v>Negra</v>
      </c>
      <c r="I52" s="96"/>
      <c r="J52" s="15"/>
      <c r="K52" s="44"/>
      <c r="L52" s="42" t="s">
        <v>149</v>
      </c>
      <c r="M52" s="47"/>
      <c r="N52" s="52">
        <v>45378</v>
      </c>
      <c r="O52" s="85">
        <v>1</v>
      </c>
      <c r="P52" s="48">
        <f t="shared" ref="P52:P57" si="34">IFERROR((+R52/O52),"")</f>
        <v>0</v>
      </c>
      <c r="Q52" s="56">
        <f t="shared" ref="Q52:Q57" si="35">+S52/10</f>
        <v>0</v>
      </c>
      <c r="R52" s="86"/>
      <c r="S52" s="57">
        <f t="shared" ref="S52:S57" si="36">+R52*T52</f>
        <v>0</v>
      </c>
      <c r="T52" s="87"/>
      <c r="U52" s="58">
        <f t="shared" ref="U52:U57" si="37">R52*V52</f>
        <v>0</v>
      </c>
      <c r="V52" s="87"/>
      <c r="W52" s="57">
        <f t="shared" ref="W52:W57" si="38">R52*X52</f>
        <v>0</v>
      </c>
      <c r="X52" s="87"/>
      <c r="Y52" s="59">
        <v>427.375</v>
      </c>
      <c r="Z52" s="15">
        <f t="shared" ref="Z52:Z57" si="39">R52+Y52</f>
        <v>427.375</v>
      </c>
      <c r="AA52" s="15">
        <f t="shared" ref="AA52:AA57" si="40">IFERROR((Z52/F52),"")</f>
        <v>36.352841315225156</v>
      </c>
      <c r="AB52" s="69">
        <f>IFERROR(REPORTE[[#This Row],[Kg Exportados]]/REPORTE[[#This Row],[Ha]],"")</f>
        <v>0</v>
      </c>
      <c r="AC52" s="65" t="str">
        <f>IFERROR(VLOOKUP(REPORTE[[#This Row],[Lote]],PROYECCION[],16,FALSE),"")</f>
        <v>Cosechando</v>
      </c>
      <c r="AD52" s="66" t="s">
        <v>72</v>
      </c>
      <c r="AE52" s="2"/>
      <c r="AG52" s="2"/>
      <c r="AK52" s="2"/>
      <c r="AL52" s="2"/>
      <c r="AN52" s="2"/>
    </row>
    <row r="53" spans="1:40" ht="14.25" customHeight="1" x14ac:dyDescent="0.25">
      <c r="A53" s="42">
        <f t="shared" si="33"/>
        <v>13</v>
      </c>
      <c r="B53" s="42" t="str">
        <f>TEXT(REPORTE[[#This Row],[Fecha]],"MMMM")</f>
        <v>Marzo</v>
      </c>
      <c r="C53" s="42" t="str">
        <f>IFERROR(VLOOKUP(REPORTE[[#This Row],[Lote]],PROYECCION[],3,FALSE),"")</f>
        <v>Don Nico</v>
      </c>
      <c r="D53" s="47" t="str">
        <f>IFERROR(VLOOKUP(REPORTE[[#This Row],[Lote]],PROYECCION[],2,FALSE),"")</f>
        <v>Agricola Guili S.A.C</v>
      </c>
      <c r="E53" s="55" t="s">
        <v>46</v>
      </c>
      <c r="F53" s="53">
        <f>IFERROR(VLOOKUP(REPORTE[[#This Row],[Lote]],PROYECCION[],5,FALSE),"")</f>
        <v>10.911764705882353</v>
      </c>
      <c r="G53" s="42" t="str">
        <f>IFERROR(VLOOKUP(REPORTE[[#This Row],[Lote]],PROYECCION[],4,FALSE),"")</f>
        <v>Hass</v>
      </c>
      <c r="H53" s="42" t="str">
        <f>IFERROR(VLOOKUP(REPORTE[[#This Row],[Lote]],PROYECCION[],6,FALSE),"")</f>
        <v>Negra</v>
      </c>
      <c r="I53" s="96"/>
      <c r="J53" s="15"/>
      <c r="K53" s="44"/>
      <c r="L53" s="42" t="s">
        <v>149</v>
      </c>
      <c r="M53" s="47"/>
      <c r="N53" s="52">
        <v>45378</v>
      </c>
      <c r="O53" s="85">
        <v>1</v>
      </c>
      <c r="P53" s="48">
        <f t="shared" si="34"/>
        <v>0</v>
      </c>
      <c r="Q53" s="56">
        <f t="shared" si="35"/>
        <v>0</v>
      </c>
      <c r="R53" s="86"/>
      <c r="S53" s="57">
        <f t="shared" si="36"/>
        <v>0</v>
      </c>
      <c r="T53" s="87"/>
      <c r="U53" s="58">
        <f t="shared" si="37"/>
        <v>0</v>
      </c>
      <c r="V53" s="87"/>
      <c r="W53" s="57">
        <f t="shared" si="38"/>
        <v>0</v>
      </c>
      <c r="X53" s="87"/>
      <c r="Y53" s="59">
        <v>427.375</v>
      </c>
      <c r="Z53" s="15">
        <f t="shared" si="39"/>
        <v>427.375</v>
      </c>
      <c r="AA53" s="15">
        <f t="shared" si="40"/>
        <v>39.166442048517517</v>
      </c>
      <c r="AB53" s="69">
        <f>IFERROR(REPORTE[[#This Row],[Kg Exportados]]/REPORTE[[#This Row],[Ha]],"")</f>
        <v>0</v>
      </c>
      <c r="AC53" s="65" t="str">
        <f>IFERROR(VLOOKUP(REPORTE[[#This Row],[Lote]],PROYECCION[],16,FALSE),"")</f>
        <v>Cosechando</v>
      </c>
      <c r="AD53" s="66" t="s">
        <v>72</v>
      </c>
      <c r="AE53" s="2"/>
      <c r="AG53" s="2"/>
      <c r="AK53" s="2"/>
      <c r="AL53" s="2"/>
      <c r="AN53" s="2"/>
    </row>
    <row r="54" spans="1:40" ht="14.25" customHeight="1" x14ac:dyDescent="0.25">
      <c r="A54" s="42">
        <f t="shared" si="33"/>
        <v>13</v>
      </c>
      <c r="B54" s="42" t="str">
        <f>TEXT(REPORTE[[#This Row],[Fecha]],"MMMM")</f>
        <v>Marzo</v>
      </c>
      <c r="C54" s="42" t="str">
        <f>IFERROR(VLOOKUP(REPORTE[[#This Row],[Lote]],PROYECCION[],3,FALSE),"")</f>
        <v>Don Nico</v>
      </c>
      <c r="D54" s="47" t="str">
        <f>IFERROR(VLOOKUP(REPORTE[[#This Row],[Lote]],PROYECCION[],2,FALSE),"")</f>
        <v>Agricola Guili S.A.C</v>
      </c>
      <c r="E54" s="55" t="s">
        <v>44</v>
      </c>
      <c r="F54" s="53">
        <f>IFERROR(VLOOKUP(REPORTE[[#This Row],[Lote]],PROYECCION[],5,FALSE),"")</f>
        <v>11.623949579831933</v>
      </c>
      <c r="G54" s="42" t="str">
        <f>IFERROR(VLOOKUP(REPORTE[[#This Row],[Lote]],PROYECCION[],4,FALSE),"")</f>
        <v>Hass</v>
      </c>
      <c r="H54" s="42" t="str">
        <f>IFERROR(VLOOKUP(REPORTE[[#This Row],[Lote]],PROYECCION[],6,FALSE),"")</f>
        <v>Negra</v>
      </c>
      <c r="I54" s="96"/>
      <c r="J54" s="15"/>
      <c r="K54" s="44"/>
      <c r="L54" s="42" t="s">
        <v>149</v>
      </c>
      <c r="M54" s="47"/>
      <c r="N54" s="52">
        <v>45378</v>
      </c>
      <c r="O54" s="85">
        <v>1</v>
      </c>
      <c r="P54" s="48">
        <f t="shared" si="34"/>
        <v>0</v>
      </c>
      <c r="Q54" s="56">
        <f t="shared" si="35"/>
        <v>0</v>
      </c>
      <c r="R54" s="86"/>
      <c r="S54" s="57">
        <f t="shared" si="36"/>
        <v>0</v>
      </c>
      <c r="T54" s="87"/>
      <c r="U54" s="58">
        <f t="shared" si="37"/>
        <v>0</v>
      </c>
      <c r="V54" s="87"/>
      <c r="W54" s="57">
        <f t="shared" si="38"/>
        <v>0</v>
      </c>
      <c r="X54" s="87"/>
      <c r="Y54" s="59">
        <v>427.375</v>
      </c>
      <c r="Z54" s="15">
        <f t="shared" si="39"/>
        <v>427.375</v>
      </c>
      <c r="AA54" s="15">
        <f t="shared" si="40"/>
        <v>36.766763058015542</v>
      </c>
      <c r="AB54" s="69">
        <f>IFERROR(REPORTE[[#This Row],[Kg Exportados]]/REPORTE[[#This Row],[Ha]],"")</f>
        <v>0</v>
      </c>
      <c r="AC54" s="65" t="str">
        <f>IFERROR(VLOOKUP(REPORTE[[#This Row],[Lote]],PROYECCION[],16,FALSE),"")</f>
        <v>Cosechando</v>
      </c>
      <c r="AD54" s="66" t="s">
        <v>72</v>
      </c>
      <c r="AE54" s="2"/>
      <c r="AG54" s="2"/>
      <c r="AK54" s="2"/>
      <c r="AL54" s="2"/>
      <c r="AN54" s="2"/>
    </row>
    <row r="55" spans="1:40" ht="14.25" customHeight="1" x14ac:dyDescent="0.25">
      <c r="A55" s="42">
        <f t="shared" si="33"/>
        <v>13</v>
      </c>
      <c r="B55" s="42" t="str">
        <f>TEXT(REPORTE[[#This Row],[Fecha]],"MMMM")</f>
        <v>Marzo</v>
      </c>
      <c r="C55" s="42" t="str">
        <f>IFERROR(VLOOKUP(REPORTE[[#This Row],[Lote]],PROYECCION[],3,FALSE),"")</f>
        <v>Cuatro Vientos</v>
      </c>
      <c r="D55" s="47" t="str">
        <f>IFERROR(VLOOKUP(REPORTE[[#This Row],[Lote]],PROYECCION[],2,FALSE),"")</f>
        <v>Agricola Guili S.A.C</v>
      </c>
      <c r="E55" s="55" t="s">
        <v>37</v>
      </c>
      <c r="F55" s="53">
        <f>IFERROR(VLOOKUP(REPORTE[[#This Row],[Lote]],PROYECCION[],5,FALSE),"")</f>
        <v>9.8487394957983199</v>
      </c>
      <c r="G55" s="42" t="str">
        <f>IFERROR(VLOOKUP(REPORTE[[#This Row],[Lote]],PROYECCION[],4,FALSE),"")</f>
        <v>Hass</v>
      </c>
      <c r="H55" s="42" t="str">
        <f>IFERROR(VLOOKUP(REPORTE[[#This Row],[Lote]],PROYECCION[],6,FALSE),"")</f>
        <v>Negra</v>
      </c>
      <c r="I55" s="96"/>
      <c r="J55" s="15"/>
      <c r="K55" s="44"/>
      <c r="L55" s="42" t="s">
        <v>149</v>
      </c>
      <c r="M55" s="47"/>
      <c r="N55" s="52">
        <v>45378</v>
      </c>
      <c r="O55" s="85">
        <v>1</v>
      </c>
      <c r="P55" s="48">
        <f t="shared" si="34"/>
        <v>0</v>
      </c>
      <c r="Q55" s="56">
        <f t="shared" si="35"/>
        <v>0</v>
      </c>
      <c r="R55" s="86"/>
      <c r="S55" s="57">
        <f t="shared" si="36"/>
        <v>0</v>
      </c>
      <c r="T55" s="87"/>
      <c r="U55" s="58">
        <f t="shared" si="37"/>
        <v>0</v>
      </c>
      <c r="V55" s="87"/>
      <c r="W55" s="57">
        <f t="shared" si="38"/>
        <v>0</v>
      </c>
      <c r="X55" s="87"/>
      <c r="Y55" s="59">
        <v>427.375</v>
      </c>
      <c r="Z55" s="15">
        <f t="shared" si="39"/>
        <v>427.375</v>
      </c>
      <c r="AA55" s="15">
        <f t="shared" si="40"/>
        <v>43.393877986348123</v>
      </c>
      <c r="AB55" s="69">
        <f>IFERROR(REPORTE[[#This Row],[Kg Exportados]]/REPORTE[[#This Row],[Ha]],"")</f>
        <v>0</v>
      </c>
      <c r="AC55" s="65" t="str">
        <f>IFERROR(VLOOKUP(REPORTE[[#This Row],[Lote]],PROYECCION[],16,FALSE),"")</f>
        <v>Cosechando</v>
      </c>
      <c r="AD55" s="66" t="s">
        <v>72</v>
      </c>
      <c r="AE55" s="2"/>
      <c r="AG55" s="2"/>
      <c r="AK55" s="2"/>
      <c r="AL55" s="2"/>
      <c r="AN55" s="2"/>
    </row>
    <row r="56" spans="1:40" ht="14.25" customHeight="1" x14ac:dyDescent="0.25">
      <c r="A56" s="42">
        <f t="shared" si="33"/>
        <v>14</v>
      </c>
      <c r="B56" s="42" t="str">
        <f>TEXT(REPORTE[[#This Row],[Fecha]],"MMMM")</f>
        <v>Abril</v>
      </c>
      <c r="C56" s="42" t="str">
        <f>IFERROR(VLOOKUP(REPORTE[[#This Row],[Lote]],PROYECCION[],3,FALSE),"")</f>
        <v>El Marsano</v>
      </c>
      <c r="D56" s="47" t="str">
        <f>IFERROR(VLOOKUP(REPORTE[[#This Row],[Lote]],PROYECCION[],2,FALSE),"")</f>
        <v>Agricola Guili S.A.C</v>
      </c>
      <c r="E56" s="55" t="s">
        <v>16</v>
      </c>
      <c r="F56" s="53">
        <f>IFERROR(VLOOKUP(REPORTE[[#This Row],[Lote]],PROYECCION[],5,FALSE),"")</f>
        <v>26.57</v>
      </c>
      <c r="G56" s="42" t="str">
        <f>IFERROR(VLOOKUP(REPORTE[[#This Row],[Lote]],PROYECCION[],4,FALSE),"")</f>
        <v>Hass</v>
      </c>
      <c r="H56" s="42" t="str">
        <f>IFERROR(VLOOKUP(REPORTE[[#This Row],[Lote]],PROYECCION[],6,FALSE),"")</f>
        <v>Negra</v>
      </c>
      <c r="I56" s="96"/>
      <c r="J56" s="15"/>
      <c r="K56" s="44"/>
      <c r="L56" s="42" t="s">
        <v>115</v>
      </c>
      <c r="M56" s="47" t="s">
        <v>116</v>
      </c>
      <c r="N56" s="84">
        <v>45383</v>
      </c>
      <c r="O56" s="85">
        <v>1</v>
      </c>
      <c r="P56" s="48">
        <f t="shared" si="34"/>
        <v>679.5</v>
      </c>
      <c r="Q56" s="56">
        <f t="shared" si="35"/>
        <v>56.999999999999943</v>
      </c>
      <c r="R56" s="86">
        <v>679.5</v>
      </c>
      <c r="S56" s="57">
        <f t="shared" si="36"/>
        <v>569.99999999999943</v>
      </c>
      <c r="T56" s="87">
        <v>0.838852097130242</v>
      </c>
      <c r="U56" s="58">
        <f t="shared" si="37"/>
        <v>55.500000000000007</v>
      </c>
      <c r="V56" s="87">
        <v>8.16777041942605E-2</v>
      </c>
      <c r="W56" s="57">
        <f t="shared" si="38"/>
        <v>54.000000000000014</v>
      </c>
      <c r="X56" s="87">
        <v>7.9470198675496706E-2</v>
      </c>
      <c r="Y56" s="59"/>
      <c r="Z56" s="15">
        <f t="shared" si="39"/>
        <v>679.5</v>
      </c>
      <c r="AA56" s="15">
        <f t="shared" si="40"/>
        <v>25.573955589010161</v>
      </c>
      <c r="AB56" s="69">
        <f>IFERROR(REPORTE[[#This Row],[Kg Exportados]]/REPORTE[[#This Row],[Ha]],"")</f>
        <v>21.452766277756847</v>
      </c>
      <c r="AC56" s="65" t="str">
        <f>IFERROR(VLOOKUP(REPORTE[[#This Row],[Lote]],PROYECCION[],16,FALSE),"")</f>
        <v>Cosechando</v>
      </c>
      <c r="AD56" s="66" t="s">
        <v>72</v>
      </c>
      <c r="AE56" s="2"/>
      <c r="AG56" s="2"/>
      <c r="AK56" s="2"/>
      <c r="AL56" s="2"/>
      <c r="AN56" s="2"/>
    </row>
    <row r="57" spans="1:40" ht="14.25" customHeight="1" x14ac:dyDescent="0.25">
      <c r="A57" s="42">
        <f t="shared" si="33"/>
        <v>14</v>
      </c>
      <c r="B57" s="42" t="str">
        <f>TEXT(REPORTE[[#This Row],[Fecha]],"MMMM")</f>
        <v>Abril</v>
      </c>
      <c r="C57" s="42" t="str">
        <f>IFERROR(VLOOKUP(REPORTE[[#This Row],[Lote]],PROYECCION[],3,FALSE),"")</f>
        <v/>
      </c>
      <c r="D57" s="47" t="str">
        <f>IFERROR(VLOOKUP(REPORTE[[#This Row],[Lote]],PROYECCION[],2,FALSE),"")</f>
        <v/>
      </c>
      <c r="E57" s="55"/>
      <c r="F57" s="53" t="str">
        <f>IFERROR(VLOOKUP(REPORTE[[#This Row],[Lote]],PROYECCION[],5,FALSE),"")</f>
        <v/>
      </c>
      <c r="G57" s="42" t="str">
        <f>IFERROR(VLOOKUP(REPORTE[[#This Row],[Lote]],PROYECCION[],4,FALSE),"")</f>
        <v/>
      </c>
      <c r="H57" s="42" t="str">
        <f>IFERROR(VLOOKUP(REPORTE[[#This Row],[Lote]],PROYECCION[],6,FALSE),"")</f>
        <v/>
      </c>
      <c r="I57" s="96" t="s">
        <v>153</v>
      </c>
      <c r="J57" s="15">
        <f>REPORTE[[#This Row],[% Calibre]]*S56</f>
        <v>569.99999999999943</v>
      </c>
      <c r="K57" s="44">
        <v>1</v>
      </c>
      <c r="L57" s="42"/>
      <c r="M57" s="47"/>
      <c r="N57" s="84">
        <v>45383</v>
      </c>
      <c r="O57" s="85"/>
      <c r="P57" s="48" t="str">
        <f t="shared" si="34"/>
        <v/>
      </c>
      <c r="Q57" s="56">
        <f t="shared" si="35"/>
        <v>0</v>
      </c>
      <c r="R57" s="86"/>
      <c r="S57" s="57">
        <f t="shared" si="36"/>
        <v>0</v>
      </c>
      <c r="T57" s="87"/>
      <c r="U57" s="58">
        <f t="shared" si="37"/>
        <v>0</v>
      </c>
      <c r="V57" s="87"/>
      <c r="W57" s="57">
        <f t="shared" si="38"/>
        <v>0</v>
      </c>
      <c r="X57" s="87"/>
      <c r="Y57" s="59"/>
      <c r="Z57" s="15">
        <f t="shared" si="39"/>
        <v>0</v>
      </c>
      <c r="AA57" s="15" t="str">
        <f t="shared" si="40"/>
        <v/>
      </c>
      <c r="AB57" s="69" t="str">
        <f>IFERROR(REPORTE[[#This Row],[Kg Exportados]]/REPORTE[[#This Row],[Ha]],"")</f>
        <v/>
      </c>
      <c r="AC57" s="65" t="str">
        <f>IFERROR(VLOOKUP(REPORTE[[#This Row],[Lote]],PROYECCION[],16,FALSE),"")</f>
        <v/>
      </c>
      <c r="AD57" s="66" t="s">
        <v>32</v>
      </c>
      <c r="AE57" s="2"/>
      <c r="AG57" s="2"/>
      <c r="AK57" s="2"/>
      <c r="AL57" s="2"/>
      <c r="AN57" s="2"/>
    </row>
    <row r="58" spans="1:40" ht="14.25" customHeight="1" x14ac:dyDescent="0.25">
      <c r="A58" s="42">
        <f t="shared" si="17"/>
        <v>14</v>
      </c>
      <c r="B58" s="42" t="str">
        <f>TEXT(REPORTE[[#This Row],[Fecha]],"MMMM")</f>
        <v>Abril</v>
      </c>
      <c r="C58" s="42" t="str">
        <f>IFERROR(VLOOKUP(REPORTE[[#This Row],[Lote]],PROYECCION[],3,FALSE),"")</f>
        <v>El Marsano</v>
      </c>
      <c r="D58" s="47" t="str">
        <f>IFERROR(VLOOKUP(REPORTE[[#This Row],[Lote]],PROYECCION[],2,FALSE),"")</f>
        <v>Agricola Guili S.A.C</v>
      </c>
      <c r="E58" s="55" t="s">
        <v>16</v>
      </c>
      <c r="F58" s="53">
        <f>IFERROR(VLOOKUP(REPORTE[[#This Row],[Lote]],PROYECCION[],5,FALSE),"")</f>
        <v>26.57</v>
      </c>
      <c r="G58" s="42" t="str">
        <f>IFERROR(VLOOKUP(REPORTE[[#This Row],[Lote]],PROYECCION[],4,FALSE),"")</f>
        <v>Hass</v>
      </c>
      <c r="H58" s="42" t="str">
        <f>IFERROR(VLOOKUP(REPORTE[[#This Row],[Lote]],PROYECCION[],6,FALSE),"")</f>
        <v>Negra</v>
      </c>
      <c r="I58" s="96"/>
      <c r="J58" s="15"/>
      <c r="K58" s="44"/>
      <c r="L58" s="42" t="s">
        <v>114</v>
      </c>
      <c r="M58" s="42" t="s">
        <v>113</v>
      </c>
      <c r="N58" s="84">
        <v>45383</v>
      </c>
      <c r="O58" s="85">
        <v>42</v>
      </c>
      <c r="P58" s="48">
        <f t="shared" si="18"/>
        <v>427.66666666666669</v>
      </c>
      <c r="Q58" s="56">
        <f t="shared" si="19"/>
        <v>1720.2708058124165</v>
      </c>
      <c r="R58" s="86">
        <v>17962</v>
      </c>
      <c r="S58" s="57">
        <f t="shared" si="20"/>
        <v>17202.708058124164</v>
      </c>
      <c r="T58" s="87">
        <v>0.95772787318361896</v>
      </c>
      <c r="U58" s="58">
        <f t="shared" si="21"/>
        <v>9.4911492734478085</v>
      </c>
      <c r="V58" s="87">
        <v>5.2840158520475495E-4</v>
      </c>
      <c r="W58" s="57">
        <f t="shared" si="22"/>
        <v>749.8007926023779</v>
      </c>
      <c r="X58" s="87">
        <v>4.1743725231175699E-2</v>
      </c>
      <c r="Y58" s="59"/>
      <c r="Z58" s="15">
        <f t="shared" si="23"/>
        <v>17962</v>
      </c>
      <c r="AA58" s="15">
        <f t="shared" si="24"/>
        <v>676.02559277380499</v>
      </c>
      <c r="AB58" s="69">
        <f>IFERROR(REPORTE[[#This Row],[Kg Exportados]]/REPORTE[[#This Row],[Ha]],"")</f>
        <v>647.44855318495161</v>
      </c>
      <c r="AC58" s="65" t="str">
        <f>IFERROR(VLOOKUP(REPORTE[[#This Row],[Lote]],PROYECCION[],16,FALSE),"")</f>
        <v>Cosechando</v>
      </c>
      <c r="AD58" s="66" t="s">
        <v>32</v>
      </c>
      <c r="AE58" s="2"/>
      <c r="AG58" s="2"/>
      <c r="AK58" s="2"/>
      <c r="AL58" s="2"/>
      <c r="AN58" s="2"/>
    </row>
    <row r="59" spans="1:40" ht="14.25" customHeight="1" x14ac:dyDescent="0.25">
      <c r="A59" s="42">
        <f>WEEKNUM(N59)</f>
        <v>14</v>
      </c>
      <c r="B59" s="42" t="str">
        <f>TEXT(REPORTE[[#This Row],[Fecha]],"MMMM")</f>
        <v>Abril</v>
      </c>
      <c r="C59" s="42" t="str">
        <f>IFERROR(VLOOKUP(REPORTE[[#This Row],[Lote]],PROYECCION[],3,FALSE),"")</f>
        <v>El Marsano</v>
      </c>
      <c r="D59" s="47" t="str">
        <f>IFERROR(VLOOKUP(REPORTE[[#This Row],[Lote]],PROYECCION[],2,FALSE),"")</f>
        <v>Agricola Guili S.A.C</v>
      </c>
      <c r="E59" s="55" t="s">
        <v>17</v>
      </c>
      <c r="F59" s="53">
        <f>IFERROR(VLOOKUP(REPORTE[[#This Row],[Lote]],PROYECCION[],5,FALSE),"")</f>
        <v>26.08</v>
      </c>
      <c r="G59" s="42" t="str">
        <f>IFERROR(VLOOKUP(REPORTE[[#This Row],[Lote]],PROYECCION[],4,FALSE),"")</f>
        <v>Hass</v>
      </c>
      <c r="H59" s="42" t="str">
        <f>IFERROR(VLOOKUP(REPORTE[[#This Row],[Lote]],PROYECCION[],6,FALSE),"")</f>
        <v>Negra</v>
      </c>
      <c r="I59" s="96"/>
      <c r="J59" s="15"/>
      <c r="K59" s="44"/>
      <c r="L59" s="42" t="s">
        <v>114</v>
      </c>
      <c r="M59" s="47" t="s">
        <v>113</v>
      </c>
      <c r="N59" s="84">
        <v>45383</v>
      </c>
      <c r="O59" s="85">
        <v>7</v>
      </c>
      <c r="P59" s="48">
        <f>IFERROR((+R59/O59),"")</f>
        <v>431.63714285714286</v>
      </c>
      <c r="Q59" s="56">
        <f>+S59/10</f>
        <v>289.37364597093773</v>
      </c>
      <c r="R59" s="86">
        <v>3021.46</v>
      </c>
      <c r="S59" s="57">
        <f>+R59*T59</f>
        <v>2893.7364597093774</v>
      </c>
      <c r="T59" s="87">
        <v>0.95772787318361896</v>
      </c>
      <c r="U59" s="58">
        <f>R59*V59</f>
        <v>1.596544253632759</v>
      </c>
      <c r="V59" s="87">
        <v>5.2840158520475495E-4</v>
      </c>
      <c r="W59" s="57">
        <f>R59*X59</f>
        <v>126.12699603698813</v>
      </c>
      <c r="X59" s="87">
        <v>4.1743725231175699E-2</v>
      </c>
      <c r="Y59" s="59"/>
      <c r="Z59" s="15">
        <f>R59+Y59</f>
        <v>3021.46</v>
      </c>
      <c r="AA59" s="15">
        <f>IFERROR((Z59/F59),"")</f>
        <v>115.85352760736197</v>
      </c>
      <c r="AB59" s="69">
        <f>IFERROR(REPORTE[[#This Row],[Kg Exportados]]/REPORTE[[#This Row],[Ha]],"")</f>
        <v>110.95615259621847</v>
      </c>
      <c r="AC59" s="65" t="str">
        <f>IFERROR(VLOOKUP(REPORTE[[#This Row],[Lote]],PROYECCION[],16,FALSE),"")</f>
        <v>Cosechando</v>
      </c>
      <c r="AD59" s="66" t="s">
        <v>32</v>
      </c>
      <c r="AE59" s="2"/>
      <c r="AG59" s="2"/>
      <c r="AK59" s="2"/>
      <c r="AL59" s="2"/>
      <c r="AN59" s="2"/>
    </row>
    <row r="60" spans="1:40" ht="14.25" customHeight="1" x14ac:dyDescent="0.25">
      <c r="A60" s="42">
        <f>WEEKNUM(N60)</f>
        <v>14</v>
      </c>
      <c r="B60" s="42" t="str">
        <f>TEXT(REPORTE[[#This Row],[Fecha]],"MMMM")</f>
        <v>Abril</v>
      </c>
      <c r="C60" s="42" t="str">
        <f>IFERROR(VLOOKUP(REPORTE[[#This Row],[Lote]],PROYECCION[],3,FALSE),"")</f>
        <v>El Marsano</v>
      </c>
      <c r="D60" s="47" t="str">
        <f>IFERROR(VLOOKUP(REPORTE[[#This Row],[Lote]],PROYECCION[],2,FALSE),"")</f>
        <v>Agricola Guili S.A.C</v>
      </c>
      <c r="E60" s="55" t="s">
        <v>33</v>
      </c>
      <c r="F60" s="53">
        <f>IFERROR(VLOOKUP(REPORTE[[#This Row],[Lote]],PROYECCION[],5,FALSE),"")</f>
        <v>11.65</v>
      </c>
      <c r="G60" s="42" t="str">
        <f>IFERROR(VLOOKUP(REPORTE[[#This Row],[Lote]],PROYECCION[],4,FALSE),"")</f>
        <v>Hass</v>
      </c>
      <c r="H60" s="42" t="str">
        <f>IFERROR(VLOOKUP(REPORTE[[#This Row],[Lote]],PROYECCION[],6,FALSE),"")</f>
        <v>Negra</v>
      </c>
      <c r="I60" s="96"/>
      <c r="J60" s="15"/>
      <c r="K60" s="44"/>
      <c r="L60" s="42" t="s">
        <v>114</v>
      </c>
      <c r="M60" s="47" t="s">
        <v>113</v>
      </c>
      <c r="N60" s="84">
        <v>45383</v>
      </c>
      <c r="O60" s="85">
        <v>2</v>
      </c>
      <c r="P60" s="48">
        <f>IFERROR((+R60/O60),"")</f>
        <v>431.63499999999999</v>
      </c>
      <c r="Q60" s="56">
        <f>+S60/10</f>
        <v>82.677774108322268</v>
      </c>
      <c r="R60" s="86">
        <v>863.27</v>
      </c>
      <c r="S60" s="57">
        <f>+R60*T60</f>
        <v>826.77774108322274</v>
      </c>
      <c r="T60" s="87">
        <v>0.95772787318361896</v>
      </c>
      <c r="U60" s="58">
        <f>R60*V60</f>
        <v>0.45615323645970879</v>
      </c>
      <c r="V60" s="87">
        <v>5.2840158520475495E-4</v>
      </c>
      <c r="W60" s="57">
        <f>R60*X60</f>
        <v>36.036105680317043</v>
      </c>
      <c r="X60" s="87">
        <v>4.1743725231175699E-2</v>
      </c>
      <c r="Y60" s="59"/>
      <c r="Z60" s="15">
        <f>R60+Y60</f>
        <v>863.27</v>
      </c>
      <c r="AA60" s="15">
        <f>IFERROR((Z60/F60),"")</f>
        <v>74.100429184549355</v>
      </c>
      <c r="AB60" s="69">
        <f>IFERROR(REPORTE[[#This Row],[Kg Exportados]]/REPORTE[[#This Row],[Ha]],"")</f>
        <v>70.96804644491182</v>
      </c>
      <c r="AC60" s="65" t="str">
        <f>IFERROR(VLOOKUP(REPORTE[[#This Row],[Lote]],PROYECCION[],16,FALSE),"")</f>
        <v>Cosechando</v>
      </c>
      <c r="AD60" s="66" t="s">
        <v>32</v>
      </c>
      <c r="AE60" s="2"/>
      <c r="AG60" s="2"/>
      <c r="AK60" s="2"/>
      <c r="AL60" s="2"/>
      <c r="AN60" s="2"/>
    </row>
    <row r="61" spans="1:40" ht="14.25" customHeight="1" x14ac:dyDescent="0.25">
      <c r="A61" s="42">
        <f>WEEKNUM(N61)</f>
        <v>14</v>
      </c>
      <c r="B61" s="42" t="str">
        <f>TEXT(REPORTE[[#This Row],[Fecha]],"MMMM")</f>
        <v>Abril</v>
      </c>
      <c r="C61" s="42" t="str">
        <f>IFERROR(VLOOKUP(REPORTE[[#This Row],[Lote]],PROYECCION[],3,FALSE),"")</f>
        <v>El Marsano</v>
      </c>
      <c r="D61" s="47" t="str">
        <f>IFERROR(VLOOKUP(REPORTE[[#This Row],[Lote]],PROYECCION[],2,FALSE),"")</f>
        <v>Agricola Guili S.A.C</v>
      </c>
      <c r="E61" s="55" t="s">
        <v>18</v>
      </c>
      <c r="F61" s="53">
        <f>IFERROR(VLOOKUP(REPORTE[[#This Row],[Lote]],PROYECCION[],5,FALSE),"")</f>
        <v>22.02</v>
      </c>
      <c r="G61" s="42" t="str">
        <f>IFERROR(VLOOKUP(REPORTE[[#This Row],[Lote]],PROYECCION[],4,FALSE),"")</f>
        <v>Hass</v>
      </c>
      <c r="H61" s="42" t="str">
        <f>IFERROR(VLOOKUP(REPORTE[[#This Row],[Lote]],PROYECCION[],6,FALSE),"")</f>
        <v>Negra</v>
      </c>
      <c r="I61" s="96"/>
      <c r="J61" s="15"/>
      <c r="K61" s="44"/>
      <c r="L61" s="42" t="s">
        <v>114</v>
      </c>
      <c r="M61" s="47" t="s">
        <v>113</v>
      </c>
      <c r="N61" s="84">
        <v>45383</v>
      </c>
      <c r="O61" s="85">
        <v>2</v>
      </c>
      <c r="P61" s="48">
        <f>IFERROR((+R61/O61),"")</f>
        <v>431.63499999999999</v>
      </c>
      <c r="Q61" s="56">
        <f>+S61/10</f>
        <v>82.677774108322268</v>
      </c>
      <c r="R61" s="86">
        <v>863.27</v>
      </c>
      <c r="S61" s="57">
        <f>+R61*T61</f>
        <v>826.77774108322274</v>
      </c>
      <c r="T61" s="87">
        <v>0.95772787318361896</v>
      </c>
      <c r="U61" s="58">
        <f>R61*V61</f>
        <v>0.45615323645970879</v>
      </c>
      <c r="V61" s="87">
        <v>5.2840158520475495E-4</v>
      </c>
      <c r="W61" s="57">
        <f>R61*X61</f>
        <v>36.036105680317043</v>
      </c>
      <c r="X61" s="87">
        <v>4.1743725231175699E-2</v>
      </c>
      <c r="Y61" s="59"/>
      <c r="Z61" s="15">
        <f>R61+Y61</f>
        <v>863.27</v>
      </c>
      <c r="AA61" s="15">
        <f>IFERROR((Z61/F61),"")</f>
        <v>39.2039055404178</v>
      </c>
      <c r="AB61" s="69">
        <f>IFERROR(REPORTE[[#This Row],[Kg Exportados]]/REPORTE[[#This Row],[Ha]],"")</f>
        <v>37.546673073715837</v>
      </c>
      <c r="AC61" s="65" t="str">
        <f>IFERROR(VLOOKUP(REPORTE[[#This Row],[Lote]],PROYECCION[],16,FALSE),"")</f>
        <v>Cosechando</v>
      </c>
      <c r="AD61" s="66" t="s">
        <v>32</v>
      </c>
      <c r="AE61" s="2"/>
      <c r="AG61" s="2"/>
      <c r="AK61" s="2"/>
      <c r="AL61" s="2"/>
      <c r="AN61" s="2"/>
    </row>
    <row r="62" spans="1:40" ht="14.25" customHeight="1" x14ac:dyDescent="0.25">
      <c r="A62" s="42">
        <f t="shared" si="17"/>
        <v>14</v>
      </c>
      <c r="B62" s="42" t="str">
        <f>TEXT(REPORTE[[#This Row],[Fecha]],"MMMM")</f>
        <v>Abril</v>
      </c>
      <c r="C62" s="42" t="str">
        <f>IFERROR(VLOOKUP(REPORTE[[#This Row],[Lote]],PROYECCION[],3,FALSE),"")</f>
        <v/>
      </c>
      <c r="D62" s="47" t="str">
        <f>IFERROR(VLOOKUP(REPORTE[[#This Row],[Lote]],PROYECCION[],2,FALSE),"")</f>
        <v/>
      </c>
      <c r="E62" s="55"/>
      <c r="F62" s="53" t="str">
        <f>IFERROR(VLOOKUP(REPORTE[[#This Row],[Lote]],PROYECCION[],5,FALSE),"")</f>
        <v/>
      </c>
      <c r="G62" s="42" t="str">
        <f>IFERROR(VLOOKUP(REPORTE[[#This Row],[Lote]],PROYECCION[],4,FALSE),"")</f>
        <v/>
      </c>
      <c r="H62" s="42" t="str">
        <f>IFERROR(VLOOKUP(REPORTE[[#This Row],[Lote]],PROYECCION[],6,FALSE),"")</f>
        <v/>
      </c>
      <c r="I62" s="96">
        <v>10</v>
      </c>
      <c r="J62" s="15">
        <f>REPORTE[[#This Row],[% Calibre]]*SUM($S$58:$S$61)</f>
        <v>559.99999999999955</v>
      </c>
      <c r="K62" s="44">
        <v>2.5747126436781599E-2</v>
      </c>
      <c r="L62" s="42"/>
      <c r="M62" s="47"/>
      <c r="N62" s="84">
        <v>45383</v>
      </c>
      <c r="O62" s="85"/>
      <c r="P62" s="48" t="str">
        <f t="shared" si="18"/>
        <v/>
      </c>
      <c r="Q62" s="56">
        <f t="shared" si="19"/>
        <v>0</v>
      </c>
      <c r="R62" s="86"/>
      <c r="S62" s="57">
        <f t="shared" si="20"/>
        <v>0</v>
      </c>
      <c r="T62" s="87"/>
      <c r="U62" s="58">
        <f t="shared" si="21"/>
        <v>0</v>
      </c>
      <c r="V62" s="87"/>
      <c r="W62" s="57">
        <f t="shared" si="22"/>
        <v>0</v>
      </c>
      <c r="X62" s="87"/>
      <c r="Y62" s="59"/>
      <c r="Z62" s="15">
        <f t="shared" si="23"/>
        <v>0</v>
      </c>
      <c r="AA62" s="15" t="str">
        <f t="shared" si="24"/>
        <v/>
      </c>
      <c r="AB62" s="69" t="str">
        <f>IFERROR(REPORTE[[#This Row],[Kg Exportados]]/REPORTE[[#This Row],[Ha]],"")</f>
        <v/>
      </c>
      <c r="AC62" s="65" t="str">
        <f>IFERROR(VLOOKUP(REPORTE[[#This Row],[Lote]],PROYECCION[],16,FALSE),"")</f>
        <v/>
      </c>
      <c r="AD62" s="66" t="s">
        <v>32</v>
      </c>
      <c r="AE62" s="2"/>
      <c r="AG62" s="2"/>
      <c r="AK62" s="2"/>
      <c r="AL62" s="2"/>
      <c r="AN62" s="2"/>
    </row>
    <row r="63" spans="1:40" ht="14.25" customHeight="1" x14ac:dyDescent="0.25">
      <c r="A63" s="42">
        <f t="shared" si="17"/>
        <v>14</v>
      </c>
      <c r="B63" s="42" t="str">
        <f>TEXT(REPORTE[[#This Row],[Fecha]],"MMMM")</f>
        <v>Abril</v>
      </c>
      <c r="C63" s="42" t="str">
        <f>IFERROR(VLOOKUP(REPORTE[[#This Row],[Lote]],PROYECCION[],3,FALSE),"")</f>
        <v/>
      </c>
      <c r="D63" s="47" t="str">
        <f>IFERROR(VLOOKUP(REPORTE[[#This Row],[Lote]],PROYECCION[],2,FALSE),"")</f>
        <v/>
      </c>
      <c r="E63" s="55"/>
      <c r="F63" s="53" t="str">
        <f>IFERROR(VLOOKUP(REPORTE[[#This Row],[Lote]],PROYECCION[],5,FALSE),"")</f>
        <v/>
      </c>
      <c r="G63" s="42" t="str">
        <f>IFERROR(VLOOKUP(REPORTE[[#This Row],[Lote]],PROYECCION[],4,FALSE),"")</f>
        <v/>
      </c>
      <c r="H63" s="42" t="str">
        <f>IFERROR(VLOOKUP(REPORTE[[#This Row],[Lote]],PROYECCION[],6,FALSE),"")</f>
        <v/>
      </c>
      <c r="I63" s="96">
        <v>12</v>
      </c>
      <c r="J63" s="15">
        <f>REPORTE[[#This Row],[% Calibre]]*SUM($S$58:$S$61)</f>
        <v>3539.9999999999941</v>
      </c>
      <c r="K63" s="44">
        <v>0.16275862068965499</v>
      </c>
      <c r="L63" s="42"/>
      <c r="M63" s="47"/>
      <c r="N63" s="84">
        <v>45383</v>
      </c>
      <c r="O63" s="85"/>
      <c r="P63" s="48" t="str">
        <f t="shared" si="18"/>
        <v/>
      </c>
      <c r="Q63" s="56">
        <f t="shared" si="19"/>
        <v>0</v>
      </c>
      <c r="R63" s="86"/>
      <c r="S63" s="57">
        <f t="shared" si="20"/>
        <v>0</v>
      </c>
      <c r="T63" s="87"/>
      <c r="U63" s="58">
        <f t="shared" si="21"/>
        <v>0</v>
      </c>
      <c r="V63" s="87"/>
      <c r="W63" s="57">
        <f t="shared" si="22"/>
        <v>0</v>
      </c>
      <c r="X63" s="87"/>
      <c r="Y63" s="59"/>
      <c r="Z63" s="15">
        <f t="shared" si="23"/>
        <v>0</v>
      </c>
      <c r="AA63" s="15" t="str">
        <f t="shared" si="24"/>
        <v/>
      </c>
      <c r="AB63" s="69" t="str">
        <f>IFERROR(REPORTE[[#This Row],[Kg Exportados]]/REPORTE[[#This Row],[Ha]],"")</f>
        <v/>
      </c>
      <c r="AC63" s="65" t="str">
        <f>IFERROR(VLOOKUP(REPORTE[[#This Row],[Lote]],PROYECCION[],16,FALSE),"")</f>
        <v/>
      </c>
      <c r="AD63" s="66" t="s">
        <v>32</v>
      </c>
      <c r="AE63" s="2"/>
      <c r="AG63" s="2"/>
      <c r="AK63" s="2"/>
      <c r="AL63" s="2"/>
      <c r="AN63" s="2"/>
    </row>
    <row r="64" spans="1:40" ht="14.25" customHeight="1" x14ac:dyDescent="0.25">
      <c r="A64" s="42">
        <f t="shared" si="17"/>
        <v>14</v>
      </c>
      <c r="B64" s="42" t="str">
        <f>TEXT(REPORTE[[#This Row],[Fecha]],"MMMM")</f>
        <v>Abril</v>
      </c>
      <c r="C64" s="42" t="str">
        <f>IFERROR(VLOOKUP(REPORTE[[#This Row],[Lote]],PROYECCION[],3,FALSE),"")</f>
        <v/>
      </c>
      <c r="D64" s="47" t="str">
        <f>IFERROR(VLOOKUP(REPORTE[[#This Row],[Lote]],PROYECCION[],2,FALSE),"")</f>
        <v/>
      </c>
      <c r="E64" s="55"/>
      <c r="F64" s="53" t="str">
        <f>IFERROR(VLOOKUP(REPORTE[[#This Row],[Lote]],PROYECCION[],5,FALSE),"")</f>
        <v/>
      </c>
      <c r="G64" s="42" t="str">
        <f>IFERROR(VLOOKUP(REPORTE[[#This Row],[Lote]],PROYECCION[],4,FALSE),"")</f>
        <v/>
      </c>
      <c r="H64" s="42" t="str">
        <f>IFERROR(VLOOKUP(REPORTE[[#This Row],[Lote]],PROYECCION[],6,FALSE),"")</f>
        <v/>
      </c>
      <c r="I64" s="96">
        <v>14</v>
      </c>
      <c r="J64" s="15">
        <f>REPORTE[[#This Row],[% Calibre]]*SUM($S$58:$S$61)</f>
        <v>7629.9999999999873</v>
      </c>
      <c r="K64" s="44">
        <v>0.35080459770114902</v>
      </c>
      <c r="L64" s="42"/>
      <c r="M64" s="47"/>
      <c r="N64" s="84">
        <v>45383</v>
      </c>
      <c r="O64" s="85"/>
      <c r="P64" s="48" t="str">
        <f t="shared" si="18"/>
        <v/>
      </c>
      <c r="Q64" s="56">
        <f t="shared" si="19"/>
        <v>0</v>
      </c>
      <c r="R64" s="86"/>
      <c r="S64" s="57">
        <f t="shared" si="20"/>
        <v>0</v>
      </c>
      <c r="T64" s="87"/>
      <c r="U64" s="58">
        <f t="shared" si="21"/>
        <v>0</v>
      </c>
      <c r="V64" s="87"/>
      <c r="W64" s="57">
        <f t="shared" si="22"/>
        <v>0</v>
      </c>
      <c r="X64" s="87"/>
      <c r="Y64" s="59"/>
      <c r="Z64" s="15">
        <f t="shared" si="23"/>
        <v>0</v>
      </c>
      <c r="AA64" s="15" t="str">
        <f t="shared" si="24"/>
        <v/>
      </c>
      <c r="AB64" s="69" t="str">
        <f>IFERROR(REPORTE[[#This Row],[Kg Exportados]]/REPORTE[[#This Row],[Ha]],"")</f>
        <v/>
      </c>
      <c r="AC64" s="65" t="str">
        <f>IFERROR(VLOOKUP(REPORTE[[#This Row],[Lote]],PROYECCION[],16,FALSE),"")</f>
        <v/>
      </c>
      <c r="AD64" s="66" t="s">
        <v>32</v>
      </c>
      <c r="AE64" s="2"/>
      <c r="AG64" s="2"/>
      <c r="AK64" s="2"/>
      <c r="AL64" s="2"/>
      <c r="AN64" s="2"/>
    </row>
    <row r="65" spans="1:40" ht="14.25" customHeight="1" x14ac:dyDescent="0.25">
      <c r="A65" s="42">
        <f t="shared" si="17"/>
        <v>14</v>
      </c>
      <c r="B65" s="42" t="str">
        <f>TEXT(REPORTE[[#This Row],[Fecha]],"MMMM")</f>
        <v>Abril</v>
      </c>
      <c r="C65" s="42" t="str">
        <f>IFERROR(VLOOKUP(REPORTE[[#This Row],[Lote]],PROYECCION[],3,FALSE),"")</f>
        <v/>
      </c>
      <c r="D65" s="47" t="str">
        <f>IFERROR(VLOOKUP(REPORTE[[#This Row],[Lote]],PROYECCION[],2,FALSE),"")</f>
        <v/>
      </c>
      <c r="E65" s="55"/>
      <c r="F65" s="53" t="str">
        <f>IFERROR(VLOOKUP(REPORTE[[#This Row],[Lote]],PROYECCION[],5,FALSE),"")</f>
        <v/>
      </c>
      <c r="G65" s="42" t="str">
        <f>IFERROR(VLOOKUP(REPORTE[[#This Row],[Lote]],PROYECCION[],4,FALSE),"")</f>
        <v/>
      </c>
      <c r="H65" s="42" t="str">
        <f>IFERROR(VLOOKUP(REPORTE[[#This Row],[Lote]],PROYECCION[],6,FALSE),"")</f>
        <v/>
      </c>
      <c r="I65" s="96">
        <v>16</v>
      </c>
      <c r="J65" s="15">
        <f>REPORTE[[#This Row],[% Calibre]]*SUM($S$58:$S$61)</f>
        <v>7609.9999999999891</v>
      </c>
      <c r="K65" s="44">
        <v>0.34988505747126403</v>
      </c>
      <c r="L65" s="42"/>
      <c r="M65" s="47"/>
      <c r="N65" s="84">
        <v>45383</v>
      </c>
      <c r="O65" s="85"/>
      <c r="P65" s="48" t="str">
        <f t="shared" si="18"/>
        <v/>
      </c>
      <c r="Q65" s="56">
        <f t="shared" si="19"/>
        <v>0</v>
      </c>
      <c r="R65" s="86"/>
      <c r="S65" s="57">
        <f t="shared" si="20"/>
        <v>0</v>
      </c>
      <c r="T65" s="87"/>
      <c r="U65" s="58">
        <f t="shared" si="21"/>
        <v>0</v>
      </c>
      <c r="V65" s="87"/>
      <c r="W65" s="57">
        <f t="shared" si="22"/>
        <v>0</v>
      </c>
      <c r="X65" s="87"/>
      <c r="Y65" s="59"/>
      <c r="Z65" s="15">
        <f t="shared" si="23"/>
        <v>0</v>
      </c>
      <c r="AA65" s="15" t="str">
        <f t="shared" si="24"/>
        <v/>
      </c>
      <c r="AB65" s="69" t="str">
        <f>IFERROR(REPORTE[[#This Row],[Kg Exportados]]/REPORTE[[#This Row],[Ha]],"")</f>
        <v/>
      </c>
      <c r="AC65" s="65" t="str">
        <f>IFERROR(VLOOKUP(REPORTE[[#This Row],[Lote]],PROYECCION[],16,FALSE),"")</f>
        <v/>
      </c>
      <c r="AD65" s="66" t="s">
        <v>32</v>
      </c>
      <c r="AE65" s="2"/>
      <c r="AG65" s="2"/>
      <c r="AK65" s="2"/>
      <c r="AL65" s="2"/>
      <c r="AN65" s="2"/>
    </row>
    <row r="66" spans="1:40" ht="14.25" customHeight="1" x14ac:dyDescent="0.25">
      <c r="A66" s="42">
        <f t="shared" si="17"/>
        <v>14</v>
      </c>
      <c r="B66" s="42" t="str">
        <f>TEXT(REPORTE[[#This Row],[Fecha]],"MMMM")</f>
        <v>Abril</v>
      </c>
      <c r="C66" s="42" t="str">
        <f>IFERROR(VLOOKUP(REPORTE[[#This Row],[Lote]],PROYECCION[],3,FALSE),"")</f>
        <v/>
      </c>
      <c r="D66" s="47" t="str">
        <f>IFERROR(VLOOKUP(REPORTE[[#This Row],[Lote]],PROYECCION[],2,FALSE),"")</f>
        <v/>
      </c>
      <c r="E66" s="55"/>
      <c r="F66" s="53" t="str">
        <f>IFERROR(VLOOKUP(REPORTE[[#This Row],[Lote]],PROYECCION[],5,FALSE),"")</f>
        <v/>
      </c>
      <c r="G66" s="42" t="str">
        <f>IFERROR(VLOOKUP(REPORTE[[#This Row],[Lote]],PROYECCION[],4,FALSE),"")</f>
        <v/>
      </c>
      <c r="H66" s="42" t="str">
        <f>IFERROR(VLOOKUP(REPORTE[[#This Row],[Lote]],PROYECCION[],6,FALSE),"")</f>
        <v/>
      </c>
      <c r="I66" s="96">
        <v>18</v>
      </c>
      <c r="J66" s="15">
        <f>REPORTE[[#This Row],[% Calibre]]*SUM($S$58:$S$61)</f>
        <v>2249.9999999999995</v>
      </c>
      <c r="K66" s="44">
        <v>0.10344827586206901</v>
      </c>
      <c r="L66" s="42"/>
      <c r="M66" s="47"/>
      <c r="N66" s="84">
        <v>45383</v>
      </c>
      <c r="O66" s="85"/>
      <c r="P66" s="48" t="str">
        <f t="shared" si="18"/>
        <v/>
      </c>
      <c r="Q66" s="56">
        <f t="shared" si="19"/>
        <v>0</v>
      </c>
      <c r="R66" s="86"/>
      <c r="S66" s="57">
        <f t="shared" si="20"/>
        <v>0</v>
      </c>
      <c r="T66" s="87"/>
      <c r="U66" s="58">
        <f t="shared" si="21"/>
        <v>0</v>
      </c>
      <c r="V66" s="87"/>
      <c r="W66" s="57">
        <f t="shared" si="22"/>
        <v>0</v>
      </c>
      <c r="X66" s="87"/>
      <c r="Y66" s="59"/>
      <c r="Z66" s="15">
        <f t="shared" si="23"/>
        <v>0</v>
      </c>
      <c r="AA66" s="15" t="str">
        <f t="shared" si="24"/>
        <v/>
      </c>
      <c r="AB66" s="69" t="str">
        <f>IFERROR(REPORTE[[#This Row],[Kg Exportados]]/REPORTE[[#This Row],[Ha]],"")</f>
        <v/>
      </c>
      <c r="AC66" s="65" t="str">
        <f>IFERROR(VLOOKUP(REPORTE[[#This Row],[Lote]],PROYECCION[],16,FALSE),"")</f>
        <v/>
      </c>
      <c r="AD66" s="66" t="s">
        <v>32</v>
      </c>
      <c r="AE66" s="2"/>
      <c r="AG66" s="2"/>
      <c r="AK66" s="2"/>
      <c r="AL66" s="2"/>
      <c r="AN66" s="2"/>
    </row>
    <row r="67" spans="1:40" ht="14.25" customHeight="1" x14ac:dyDescent="0.25">
      <c r="A67" s="42">
        <f t="shared" si="17"/>
        <v>14</v>
      </c>
      <c r="B67" s="42" t="str">
        <f>TEXT(REPORTE[[#This Row],[Fecha]],"MMMM")</f>
        <v>Abril</v>
      </c>
      <c r="C67" s="42" t="str">
        <f>IFERROR(VLOOKUP(REPORTE[[#This Row],[Lote]],PROYECCION[],3,FALSE),"")</f>
        <v/>
      </c>
      <c r="D67" s="47" t="str">
        <f>IFERROR(VLOOKUP(REPORTE[[#This Row],[Lote]],PROYECCION[],2,FALSE),"")</f>
        <v/>
      </c>
      <c r="E67" s="55"/>
      <c r="F67" s="53" t="str">
        <f>IFERROR(VLOOKUP(REPORTE[[#This Row],[Lote]],PROYECCION[],5,FALSE),"")</f>
        <v/>
      </c>
      <c r="G67" s="42" t="str">
        <f>IFERROR(VLOOKUP(REPORTE[[#This Row],[Lote]],PROYECCION[],4,FALSE),"")</f>
        <v/>
      </c>
      <c r="H67" s="42" t="str">
        <f>IFERROR(VLOOKUP(REPORTE[[#This Row],[Lote]],PROYECCION[],6,FALSE),"")</f>
        <v/>
      </c>
      <c r="I67" s="96">
        <v>20</v>
      </c>
      <c r="J67" s="15">
        <f>REPORTE[[#This Row],[% Calibre]]*SUM($S$58:$S$61)</f>
        <v>160.0000000000008</v>
      </c>
      <c r="K67" s="44">
        <v>7.3563218390805003E-3</v>
      </c>
      <c r="L67" s="42"/>
      <c r="M67" s="47"/>
      <c r="N67" s="84">
        <v>45383</v>
      </c>
      <c r="O67" s="85"/>
      <c r="P67" s="48" t="str">
        <f t="shared" si="18"/>
        <v/>
      </c>
      <c r="Q67" s="56">
        <f t="shared" si="19"/>
        <v>0</v>
      </c>
      <c r="R67" s="86"/>
      <c r="S67" s="57">
        <f t="shared" si="20"/>
        <v>0</v>
      </c>
      <c r="T67" s="87"/>
      <c r="U67" s="58">
        <f t="shared" si="21"/>
        <v>0</v>
      </c>
      <c r="V67" s="87"/>
      <c r="W67" s="57">
        <f t="shared" si="22"/>
        <v>0</v>
      </c>
      <c r="X67" s="87"/>
      <c r="Y67" s="59"/>
      <c r="Z67" s="15">
        <f t="shared" si="23"/>
        <v>0</v>
      </c>
      <c r="AA67" s="15" t="str">
        <f t="shared" si="24"/>
        <v/>
      </c>
      <c r="AB67" s="69" t="str">
        <f>IFERROR(REPORTE[[#This Row],[Kg Exportados]]/REPORTE[[#This Row],[Ha]],"")</f>
        <v/>
      </c>
      <c r="AC67" s="65" t="str">
        <f>IFERROR(VLOOKUP(REPORTE[[#This Row],[Lote]],PROYECCION[],16,FALSE),"")</f>
        <v/>
      </c>
      <c r="AD67" s="66" t="s">
        <v>32</v>
      </c>
      <c r="AE67" s="2"/>
      <c r="AG67" s="2"/>
      <c r="AK67" s="2"/>
      <c r="AL67" s="2"/>
      <c r="AN67" s="2"/>
    </row>
    <row r="68" spans="1:40" ht="14.25" customHeight="1" x14ac:dyDescent="0.25">
      <c r="A68" s="42">
        <f t="shared" ref="A68:A78" si="41">WEEKNUM(N68)</f>
        <v>14</v>
      </c>
      <c r="B68" s="42" t="str">
        <f>TEXT(REPORTE[[#This Row],[Fecha]],"MMMM")</f>
        <v>Abril</v>
      </c>
      <c r="C68" s="42" t="str">
        <f>IFERROR(VLOOKUP(REPORTE[[#This Row],[Lote]],PROYECCION[],3,FALSE),"")</f>
        <v>El Marsano</v>
      </c>
      <c r="D68" s="47" t="str">
        <f>IFERROR(VLOOKUP(REPORTE[[#This Row],[Lote]],PROYECCION[],2,FALSE),"")</f>
        <v>Agricola Guili S.A.C</v>
      </c>
      <c r="E68" s="55" t="s">
        <v>16</v>
      </c>
      <c r="F68" s="53">
        <f>IFERROR(VLOOKUP(REPORTE[[#This Row],[Lote]],PROYECCION[],5,FALSE),"")</f>
        <v>26.57</v>
      </c>
      <c r="G68" s="42" t="str">
        <f>IFERROR(VLOOKUP(REPORTE[[#This Row],[Lote]],PROYECCION[],4,FALSE),"")</f>
        <v>Hass</v>
      </c>
      <c r="H68" s="42" t="str">
        <f>IFERROR(VLOOKUP(REPORTE[[#This Row],[Lote]],PROYECCION[],6,FALSE),"")</f>
        <v>Negra</v>
      </c>
      <c r="I68" s="96"/>
      <c r="J68" s="15"/>
      <c r="K68" s="44"/>
      <c r="L68" s="42" t="s">
        <v>117</v>
      </c>
      <c r="M68" s="42" t="s">
        <v>118</v>
      </c>
      <c r="N68" s="84">
        <v>45384</v>
      </c>
      <c r="O68" s="85">
        <v>8</v>
      </c>
      <c r="P68" s="48">
        <f t="shared" ref="P68:P78" si="42">IFERROR((+R68/O68),"")</f>
        <v>428.83375000000001</v>
      </c>
      <c r="Q68" s="56">
        <f t="shared" ref="Q68:Q78" si="43">+S68/10</f>
        <v>329.96676650354732</v>
      </c>
      <c r="R68" s="86">
        <v>3430.67</v>
      </c>
      <c r="S68" s="57">
        <f t="shared" ref="S68:S78" si="44">+R68*T68</f>
        <v>3299.6676650354734</v>
      </c>
      <c r="T68" s="87">
        <v>0.96181435843012397</v>
      </c>
      <c r="U68" s="58">
        <f t="shared" ref="U68:U78" si="45">R68*V68</f>
        <v>3.101444883359862</v>
      </c>
      <c r="V68" s="87">
        <v>9.0403474637894699E-4</v>
      </c>
      <c r="W68" s="57">
        <f t="shared" ref="W68:W78" si="46">R68*X68</f>
        <v>127.90089008116647</v>
      </c>
      <c r="X68" s="87">
        <v>3.7281606823497002E-2</v>
      </c>
      <c r="Y68" s="59"/>
      <c r="Z68" s="15">
        <f t="shared" ref="Z68:Z78" si="47">R68+Y68</f>
        <v>3430.67</v>
      </c>
      <c r="AA68" s="15">
        <f t="shared" ref="AA68:AA78" si="48">IFERROR((Z68/F68),"")</f>
        <v>129.11817839668799</v>
      </c>
      <c r="AB68" s="69">
        <f>IFERROR(REPORTE[[#This Row],[Kg Exportados]]/REPORTE[[#This Row],[Ha]],"")</f>
        <v>124.18771791627675</v>
      </c>
      <c r="AC68" s="65" t="str">
        <f>IFERROR(VLOOKUP(REPORTE[[#This Row],[Lote]],PROYECCION[],16,FALSE),"")</f>
        <v>Cosechando</v>
      </c>
      <c r="AD68" s="66" t="s">
        <v>32</v>
      </c>
      <c r="AE68" s="2"/>
      <c r="AG68" s="2"/>
      <c r="AK68" s="2"/>
      <c r="AL68" s="2"/>
      <c r="AN68" s="2"/>
    </row>
    <row r="69" spans="1:40" ht="14.25" customHeight="1" x14ac:dyDescent="0.25">
      <c r="A69" s="42">
        <f>WEEKNUM(N69)</f>
        <v>14</v>
      </c>
      <c r="B69" s="42" t="str">
        <f>TEXT(REPORTE[[#This Row],[Fecha]],"MMMM")</f>
        <v>Abril</v>
      </c>
      <c r="C69" s="42" t="str">
        <f>IFERROR(VLOOKUP(REPORTE[[#This Row],[Lote]],PROYECCION[],3,FALSE),"")</f>
        <v>El Marsano</v>
      </c>
      <c r="D69" s="47" t="str">
        <f>IFERROR(VLOOKUP(REPORTE[[#This Row],[Lote]],PROYECCION[],2,FALSE),"")</f>
        <v>Agricola Guili S.A.C</v>
      </c>
      <c r="E69" s="55" t="s">
        <v>13</v>
      </c>
      <c r="F69" s="53">
        <f>IFERROR(VLOOKUP(REPORTE[[#This Row],[Lote]],PROYECCION[],5,FALSE),"")</f>
        <v>13.41</v>
      </c>
      <c r="G69" s="42" t="str">
        <f>IFERROR(VLOOKUP(REPORTE[[#This Row],[Lote]],PROYECCION[],4,FALSE),"")</f>
        <v>Hass</v>
      </c>
      <c r="H69" s="42" t="str">
        <f>IFERROR(VLOOKUP(REPORTE[[#This Row],[Lote]],PROYECCION[],6,FALSE),"")</f>
        <v>Negra</v>
      </c>
      <c r="I69" s="96"/>
      <c r="J69" s="15"/>
      <c r="K69" s="44"/>
      <c r="L69" s="42" t="s">
        <v>117</v>
      </c>
      <c r="M69" s="47" t="s">
        <v>118</v>
      </c>
      <c r="N69" s="84">
        <v>45384</v>
      </c>
      <c r="O69" s="85">
        <v>1</v>
      </c>
      <c r="P69" s="48">
        <f>IFERROR((+R69/O69),"")</f>
        <v>428.83</v>
      </c>
      <c r="Q69" s="56">
        <f>+S69/10</f>
        <v>41.245485132559004</v>
      </c>
      <c r="R69" s="86">
        <v>428.83</v>
      </c>
      <c r="S69" s="57">
        <f>+R69*T69</f>
        <v>412.45485132559003</v>
      </c>
      <c r="T69" s="87">
        <v>0.96181435843012397</v>
      </c>
      <c r="U69" s="58">
        <f>R69*V69</f>
        <v>0.38767722028968382</v>
      </c>
      <c r="V69" s="87">
        <v>9.0403474637894699E-4</v>
      </c>
      <c r="W69" s="57">
        <f>R69*X69</f>
        <v>15.987471454120218</v>
      </c>
      <c r="X69" s="87">
        <v>3.7281606823497002E-2</v>
      </c>
      <c r="Y69" s="59"/>
      <c r="Z69" s="15">
        <f>R69+Y69</f>
        <v>428.83</v>
      </c>
      <c r="AA69" s="15">
        <f>IFERROR((Z69/F69),"")</f>
        <v>31.978374347501862</v>
      </c>
      <c r="AB69" s="69">
        <f>IFERROR(REPORTE[[#This Row],[Kg Exportados]]/REPORTE[[#This Row],[Ha]],"")</f>
        <v>30.757259606680837</v>
      </c>
      <c r="AC69" s="65" t="str">
        <f>IFERROR(VLOOKUP(REPORTE[[#This Row],[Lote]],PROYECCION[],16,FALSE),"")</f>
        <v>Cosechando</v>
      </c>
      <c r="AD69" s="66" t="s">
        <v>32</v>
      </c>
      <c r="AE69" s="2"/>
      <c r="AG69" s="2"/>
      <c r="AK69" s="2"/>
      <c r="AL69" s="2"/>
      <c r="AN69" s="2"/>
    </row>
    <row r="70" spans="1:40" ht="14.25" customHeight="1" x14ac:dyDescent="0.25">
      <c r="A70" s="42">
        <f>WEEKNUM(N70)</f>
        <v>14</v>
      </c>
      <c r="B70" s="42" t="str">
        <f>TEXT(REPORTE[[#This Row],[Fecha]],"MMMM")</f>
        <v>Abril</v>
      </c>
      <c r="C70" s="42" t="str">
        <f>IFERROR(VLOOKUP(REPORTE[[#This Row],[Lote]],PROYECCION[],3,FALSE),"")</f>
        <v>El Marsano</v>
      </c>
      <c r="D70" s="47" t="str">
        <f>IFERROR(VLOOKUP(REPORTE[[#This Row],[Lote]],PROYECCION[],2,FALSE),"")</f>
        <v>Agricola Guili S.A.C</v>
      </c>
      <c r="E70" s="55" t="s">
        <v>17</v>
      </c>
      <c r="F70" s="53">
        <f>IFERROR(VLOOKUP(REPORTE[[#This Row],[Lote]],PROYECCION[],5,FALSE),"")</f>
        <v>26.08</v>
      </c>
      <c r="G70" s="42" t="str">
        <f>IFERROR(VLOOKUP(REPORTE[[#This Row],[Lote]],PROYECCION[],4,FALSE),"")</f>
        <v>Hass</v>
      </c>
      <c r="H70" s="42" t="str">
        <f>IFERROR(VLOOKUP(REPORTE[[#This Row],[Lote]],PROYECCION[],6,FALSE),"")</f>
        <v>Negra</v>
      </c>
      <c r="I70" s="96"/>
      <c r="J70" s="15"/>
      <c r="K70" s="44"/>
      <c r="L70" s="42" t="s">
        <v>117</v>
      </c>
      <c r="M70" s="47" t="s">
        <v>118</v>
      </c>
      <c r="N70" s="84">
        <v>45384</v>
      </c>
      <c r="O70" s="85">
        <v>42</v>
      </c>
      <c r="P70" s="48">
        <f>IFERROR((+R70/O70),"")</f>
        <v>421.03571428571428</v>
      </c>
      <c r="Q70" s="56">
        <f>+S70/10</f>
        <v>1700.8244207299097</v>
      </c>
      <c r="R70" s="86">
        <v>17683.5</v>
      </c>
      <c r="S70" s="57">
        <f>+R70*T70</f>
        <v>17008.244207299096</v>
      </c>
      <c r="T70" s="87">
        <v>0.96181435843012397</v>
      </c>
      <c r="U70" s="58">
        <f>R70*V70</f>
        <v>15.986498437592109</v>
      </c>
      <c r="V70" s="87">
        <v>9.0403474637894699E-4</v>
      </c>
      <c r="W70" s="57">
        <f>R70*X70</f>
        <v>659.26929426330923</v>
      </c>
      <c r="X70" s="87">
        <v>3.7281606823497002E-2</v>
      </c>
      <c r="Y70" s="59"/>
      <c r="Z70" s="15">
        <f>R70+Y70</f>
        <v>17683.5</v>
      </c>
      <c r="AA70" s="15">
        <f>IFERROR((Z70/F70),"")</f>
        <v>678.04831288343564</v>
      </c>
      <c r="AB70" s="69">
        <f>IFERROR(REPORTE[[#This Row],[Kg Exportados]]/REPORTE[[#This Row],[Ha]],"")</f>
        <v>652.15660304060953</v>
      </c>
      <c r="AC70" s="65" t="str">
        <f>IFERROR(VLOOKUP(REPORTE[[#This Row],[Lote]],PROYECCION[],16,FALSE),"")</f>
        <v>Cosechando</v>
      </c>
      <c r="AD70" s="66" t="s">
        <v>32</v>
      </c>
      <c r="AE70" s="2"/>
      <c r="AG70" s="2"/>
      <c r="AK70" s="2"/>
      <c r="AL70" s="2"/>
      <c r="AN70" s="2"/>
    </row>
    <row r="71" spans="1:40" ht="14.25" customHeight="1" x14ac:dyDescent="0.25">
      <c r="A71" s="42">
        <f>WEEKNUM(N71)</f>
        <v>14</v>
      </c>
      <c r="B71" s="42" t="str">
        <f>TEXT(REPORTE[[#This Row],[Fecha]],"MMMM")</f>
        <v>Abril</v>
      </c>
      <c r="C71" s="42" t="str">
        <f>IFERROR(VLOOKUP(REPORTE[[#This Row],[Lote]],PROYECCION[],3,FALSE),"")</f>
        <v>El Marsano</v>
      </c>
      <c r="D71" s="47" t="str">
        <f>IFERROR(VLOOKUP(REPORTE[[#This Row],[Lote]],PROYECCION[],2,FALSE),"")</f>
        <v>Agricola Guili S.A.C</v>
      </c>
      <c r="E71" s="55" t="s">
        <v>13</v>
      </c>
      <c r="F71" s="53">
        <f>IFERROR(VLOOKUP(REPORTE[[#This Row],[Lote]],PROYECCION[],5,FALSE),"")</f>
        <v>13.41</v>
      </c>
      <c r="G71" s="42" t="str">
        <f>IFERROR(VLOOKUP(REPORTE[[#This Row],[Lote]],PROYECCION[],4,FALSE),"")</f>
        <v>Hass</v>
      </c>
      <c r="H71" s="42" t="str">
        <f>IFERROR(VLOOKUP(REPORTE[[#This Row],[Lote]],PROYECCION[],6,FALSE),"")</f>
        <v>Negra</v>
      </c>
      <c r="I71" s="96"/>
      <c r="J71" s="15"/>
      <c r="K71" s="44"/>
      <c r="L71" s="42" t="s">
        <v>117</v>
      </c>
      <c r="M71" s="47" t="s">
        <v>118</v>
      </c>
      <c r="N71" s="84">
        <v>45384</v>
      </c>
      <c r="O71" s="85">
        <v>9</v>
      </c>
      <c r="P71" s="48">
        <f>IFERROR((+R71/O71),"")</f>
        <v>433.16666666666669</v>
      </c>
      <c r="Q71" s="56">
        <f>+S71/10</f>
        <v>374.96332763398379</v>
      </c>
      <c r="R71" s="86">
        <v>3898.5</v>
      </c>
      <c r="S71" s="57">
        <f>+R71*T71</f>
        <v>3749.6332763398382</v>
      </c>
      <c r="T71" s="87">
        <v>0.96181435843012397</v>
      </c>
      <c r="U71" s="58">
        <f>R71*V71</f>
        <v>3.5243794587583248</v>
      </c>
      <c r="V71" s="87">
        <v>9.0403474637894699E-4</v>
      </c>
      <c r="W71" s="57">
        <f>R71*X71</f>
        <v>145.34234420140305</v>
      </c>
      <c r="X71" s="87">
        <v>3.7281606823497002E-2</v>
      </c>
      <c r="Y71" s="59"/>
      <c r="Z71" s="15">
        <f>R71+Y71</f>
        <v>3898.5</v>
      </c>
      <c r="AA71" s="15">
        <f>IFERROR((Z71/F71),"")</f>
        <v>290.71588366890381</v>
      </c>
      <c r="AB71" s="69">
        <f>IFERROR(REPORTE[[#This Row],[Kg Exportados]]/REPORTE[[#This Row],[Ha]],"")</f>
        <v>279.61471113645325</v>
      </c>
      <c r="AC71" s="65" t="str">
        <f>IFERROR(VLOOKUP(REPORTE[[#This Row],[Lote]],PROYECCION[],16,FALSE),"")</f>
        <v>Cosechando</v>
      </c>
      <c r="AD71" s="66" t="s">
        <v>32</v>
      </c>
      <c r="AE71" s="2"/>
      <c r="AG71" s="2"/>
      <c r="AK71" s="2"/>
      <c r="AL71" s="2"/>
      <c r="AN71" s="2"/>
    </row>
    <row r="72" spans="1:40" ht="14.25" customHeight="1" x14ac:dyDescent="0.25">
      <c r="A72" s="42">
        <f t="shared" ref="A72:A77" si="49">WEEKNUM(N72)</f>
        <v>14</v>
      </c>
      <c r="B72" s="42" t="str">
        <f>TEXT(REPORTE[[#This Row],[Fecha]],"MMMM")</f>
        <v>Abril</v>
      </c>
      <c r="C72" s="42" t="str">
        <f>IFERROR(VLOOKUP(REPORTE[[#This Row],[Lote]],PROYECCION[],3,FALSE),"")</f>
        <v/>
      </c>
      <c r="D72" s="47" t="str">
        <f>IFERROR(VLOOKUP(REPORTE[[#This Row],[Lote]],PROYECCION[],2,FALSE),"")</f>
        <v/>
      </c>
      <c r="E72" s="55"/>
      <c r="F72" s="53" t="str">
        <f>IFERROR(VLOOKUP(REPORTE[[#This Row],[Lote]],PROYECCION[],5,FALSE),"")</f>
        <v/>
      </c>
      <c r="G72" s="42" t="str">
        <f>IFERROR(VLOOKUP(REPORTE[[#This Row],[Lote]],PROYECCION[],4,FALSE),"")</f>
        <v/>
      </c>
      <c r="H72" s="42" t="str">
        <f>IFERROR(VLOOKUP(REPORTE[[#This Row],[Lote]],PROYECCION[],6,FALSE),"")</f>
        <v/>
      </c>
      <c r="I72" s="96">
        <v>10</v>
      </c>
      <c r="J72" s="15">
        <f>REPORTE[[#This Row],[% Calibre]]*SUM($S$68:$S$71)</f>
        <v>560.0000000000008</v>
      </c>
      <c r="K72" s="44">
        <v>2.28851655087863E-2</v>
      </c>
      <c r="L72" s="42"/>
      <c r="M72" s="47"/>
      <c r="N72" s="84">
        <v>45384</v>
      </c>
      <c r="O72" s="85"/>
      <c r="P72" s="48" t="str">
        <f t="shared" ref="P72:P77" si="50">IFERROR((+R72/O72),"")</f>
        <v/>
      </c>
      <c r="Q72" s="56">
        <f t="shared" ref="Q72:Q77" si="51">+S72/10</f>
        <v>0</v>
      </c>
      <c r="R72" s="86"/>
      <c r="S72" s="57">
        <f t="shared" ref="S72:S77" si="52">+R72*T72</f>
        <v>0</v>
      </c>
      <c r="T72" s="87"/>
      <c r="U72" s="58">
        <f t="shared" ref="U72:U77" si="53">R72*V72</f>
        <v>0</v>
      </c>
      <c r="V72" s="87"/>
      <c r="W72" s="57">
        <f t="shared" ref="W72:W77" si="54">R72*X72</f>
        <v>0</v>
      </c>
      <c r="X72" s="87"/>
      <c r="Y72" s="59"/>
      <c r="Z72" s="15">
        <f t="shared" ref="Z72:Z77" si="55">R72+Y72</f>
        <v>0</v>
      </c>
      <c r="AA72" s="15" t="str">
        <f t="shared" ref="AA72:AA77" si="56">IFERROR((Z72/F72),"")</f>
        <v/>
      </c>
      <c r="AB72" s="69" t="str">
        <f>IFERROR(REPORTE[[#This Row],[Kg Exportados]]/REPORTE[[#This Row],[Ha]],"")</f>
        <v/>
      </c>
      <c r="AC72" s="65" t="str">
        <f>IFERROR(VLOOKUP(REPORTE[[#This Row],[Lote]],PROYECCION[],16,FALSE),"")</f>
        <v/>
      </c>
      <c r="AD72" s="66" t="s">
        <v>32</v>
      </c>
      <c r="AE72" s="2"/>
      <c r="AG72" s="2"/>
      <c r="AK72" s="2"/>
      <c r="AL72" s="2"/>
      <c r="AN72" s="2"/>
    </row>
    <row r="73" spans="1:40" ht="14.25" customHeight="1" x14ac:dyDescent="0.25">
      <c r="A73" s="42">
        <f t="shared" si="49"/>
        <v>14</v>
      </c>
      <c r="B73" s="42" t="str">
        <f>TEXT(REPORTE[[#This Row],[Fecha]],"MMMM")</f>
        <v>Abril</v>
      </c>
      <c r="C73" s="42" t="str">
        <f>IFERROR(VLOOKUP(REPORTE[[#This Row],[Lote]],PROYECCION[],3,FALSE),"")</f>
        <v/>
      </c>
      <c r="D73" s="47" t="str">
        <f>IFERROR(VLOOKUP(REPORTE[[#This Row],[Lote]],PROYECCION[],2,FALSE),"")</f>
        <v/>
      </c>
      <c r="E73" s="55"/>
      <c r="F73" s="53" t="str">
        <f>IFERROR(VLOOKUP(REPORTE[[#This Row],[Lote]],PROYECCION[],5,FALSE),"")</f>
        <v/>
      </c>
      <c r="G73" s="42" t="str">
        <f>IFERROR(VLOOKUP(REPORTE[[#This Row],[Lote]],PROYECCION[],4,FALSE),"")</f>
        <v/>
      </c>
      <c r="H73" s="42" t="str">
        <f>IFERROR(VLOOKUP(REPORTE[[#This Row],[Lote]],PROYECCION[],6,FALSE),"")</f>
        <v/>
      </c>
      <c r="I73" s="96">
        <v>12</v>
      </c>
      <c r="J73" s="15">
        <f>REPORTE[[#This Row],[% Calibre]]*SUM($S$68:$S$71)</f>
        <v>3630</v>
      </c>
      <c r="K73" s="44">
        <v>0.14834491213731099</v>
      </c>
      <c r="L73" s="42"/>
      <c r="M73" s="47"/>
      <c r="N73" s="84">
        <v>45384</v>
      </c>
      <c r="O73" s="85"/>
      <c r="P73" s="48" t="str">
        <f t="shared" si="50"/>
        <v/>
      </c>
      <c r="Q73" s="56">
        <f t="shared" si="51"/>
        <v>0</v>
      </c>
      <c r="R73" s="86"/>
      <c r="S73" s="57">
        <f t="shared" si="52"/>
        <v>0</v>
      </c>
      <c r="T73" s="87"/>
      <c r="U73" s="58">
        <f t="shared" si="53"/>
        <v>0</v>
      </c>
      <c r="V73" s="87"/>
      <c r="W73" s="57">
        <f t="shared" si="54"/>
        <v>0</v>
      </c>
      <c r="X73" s="87"/>
      <c r="Y73" s="59"/>
      <c r="Z73" s="15">
        <f t="shared" si="55"/>
        <v>0</v>
      </c>
      <c r="AA73" s="15" t="str">
        <f t="shared" si="56"/>
        <v/>
      </c>
      <c r="AB73" s="69" t="str">
        <f>IFERROR(REPORTE[[#This Row],[Kg Exportados]]/REPORTE[[#This Row],[Ha]],"")</f>
        <v/>
      </c>
      <c r="AC73" s="65" t="str">
        <f>IFERROR(VLOOKUP(REPORTE[[#This Row],[Lote]],PROYECCION[],16,FALSE),"")</f>
        <v/>
      </c>
      <c r="AD73" s="66" t="s">
        <v>32</v>
      </c>
      <c r="AE73" s="2"/>
      <c r="AG73" s="2"/>
      <c r="AK73" s="2"/>
      <c r="AL73" s="2"/>
      <c r="AN73" s="2"/>
    </row>
    <row r="74" spans="1:40" ht="14.25" customHeight="1" x14ac:dyDescent="0.25">
      <c r="A74" s="42">
        <f t="shared" si="49"/>
        <v>14</v>
      </c>
      <c r="B74" s="42" t="str">
        <f>TEXT(REPORTE[[#This Row],[Fecha]],"MMMM")</f>
        <v>Abril</v>
      </c>
      <c r="C74" s="42" t="str">
        <f>IFERROR(VLOOKUP(REPORTE[[#This Row],[Lote]],PROYECCION[],3,FALSE),"")</f>
        <v/>
      </c>
      <c r="D74" s="47" t="str">
        <f>IFERROR(VLOOKUP(REPORTE[[#This Row],[Lote]],PROYECCION[],2,FALSE),"")</f>
        <v/>
      </c>
      <c r="E74" s="55"/>
      <c r="F74" s="53" t="str">
        <f>IFERROR(VLOOKUP(REPORTE[[#This Row],[Lote]],PROYECCION[],5,FALSE),"")</f>
        <v/>
      </c>
      <c r="G74" s="42" t="str">
        <f>IFERROR(VLOOKUP(REPORTE[[#This Row],[Lote]],PROYECCION[],4,FALSE),"")</f>
        <v/>
      </c>
      <c r="H74" s="42" t="str">
        <f>IFERROR(VLOOKUP(REPORTE[[#This Row],[Lote]],PROYECCION[],6,FALSE),"")</f>
        <v/>
      </c>
      <c r="I74" s="96">
        <v>14</v>
      </c>
      <c r="J74" s="15">
        <f>REPORTE[[#This Row],[% Calibre]]*SUM($S$68:$S$71)</f>
        <v>8409.99999999998</v>
      </c>
      <c r="K74" s="44">
        <v>0.343686146301593</v>
      </c>
      <c r="L74" s="42"/>
      <c r="M74" s="47"/>
      <c r="N74" s="84">
        <v>45384</v>
      </c>
      <c r="O74" s="85"/>
      <c r="P74" s="48" t="str">
        <f t="shared" si="50"/>
        <v/>
      </c>
      <c r="Q74" s="56">
        <f t="shared" si="51"/>
        <v>0</v>
      </c>
      <c r="R74" s="86"/>
      <c r="S74" s="57">
        <f t="shared" si="52"/>
        <v>0</v>
      </c>
      <c r="T74" s="87"/>
      <c r="U74" s="58">
        <f t="shared" si="53"/>
        <v>0</v>
      </c>
      <c r="V74" s="87"/>
      <c r="W74" s="57">
        <f t="shared" si="54"/>
        <v>0</v>
      </c>
      <c r="X74" s="87"/>
      <c r="Y74" s="59"/>
      <c r="Z74" s="15">
        <f t="shared" si="55"/>
        <v>0</v>
      </c>
      <c r="AA74" s="15" t="str">
        <f t="shared" si="56"/>
        <v/>
      </c>
      <c r="AB74" s="69" t="str">
        <f>IFERROR(REPORTE[[#This Row],[Kg Exportados]]/REPORTE[[#This Row],[Ha]],"")</f>
        <v/>
      </c>
      <c r="AC74" s="65" t="str">
        <f>IFERROR(VLOOKUP(REPORTE[[#This Row],[Lote]],PROYECCION[],16,FALSE),"")</f>
        <v/>
      </c>
      <c r="AD74" s="66" t="s">
        <v>32</v>
      </c>
      <c r="AE74" s="2"/>
      <c r="AG74" s="2"/>
      <c r="AK74" s="2"/>
      <c r="AL74" s="2"/>
      <c r="AN74" s="2"/>
    </row>
    <row r="75" spans="1:40" ht="14.25" customHeight="1" x14ac:dyDescent="0.25">
      <c r="A75" s="42">
        <f t="shared" si="49"/>
        <v>14</v>
      </c>
      <c r="B75" s="42" t="str">
        <f>TEXT(REPORTE[[#This Row],[Fecha]],"MMMM")</f>
        <v>Abril</v>
      </c>
      <c r="C75" s="42" t="str">
        <f>IFERROR(VLOOKUP(REPORTE[[#This Row],[Lote]],PROYECCION[],3,FALSE),"")</f>
        <v/>
      </c>
      <c r="D75" s="47" t="str">
        <f>IFERROR(VLOOKUP(REPORTE[[#This Row],[Lote]],PROYECCION[],2,FALSE),"")</f>
        <v/>
      </c>
      <c r="E75" s="55"/>
      <c r="F75" s="53" t="str">
        <f>IFERROR(VLOOKUP(REPORTE[[#This Row],[Lote]],PROYECCION[],5,FALSE),"")</f>
        <v/>
      </c>
      <c r="G75" s="42" t="str">
        <f>IFERROR(VLOOKUP(REPORTE[[#This Row],[Lote]],PROYECCION[],4,FALSE),"")</f>
        <v/>
      </c>
      <c r="H75" s="42" t="str">
        <f>IFERROR(VLOOKUP(REPORTE[[#This Row],[Lote]],PROYECCION[],6,FALSE),"")</f>
        <v/>
      </c>
      <c r="I75" s="96">
        <v>16</v>
      </c>
      <c r="J75" s="15">
        <f>REPORTE[[#This Row],[% Calibre]]*SUM($S$68:$S$71)</f>
        <v>8539.9999999999854</v>
      </c>
      <c r="K75" s="44">
        <v>0.34899877400898999</v>
      </c>
      <c r="L75" s="42"/>
      <c r="M75" s="47"/>
      <c r="N75" s="84">
        <v>45384</v>
      </c>
      <c r="O75" s="85"/>
      <c r="P75" s="48" t="str">
        <f t="shared" si="50"/>
        <v/>
      </c>
      <c r="Q75" s="56">
        <f t="shared" si="51"/>
        <v>0</v>
      </c>
      <c r="R75" s="86"/>
      <c r="S75" s="57">
        <f t="shared" si="52"/>
        <v>0</v>
      </c>
      <c r="T75" s="87"/>
      <c r="U75" s="58">
        <f t="shared" si="53"/>
        <v>0</v>
      </c>
      <c r="V75" s="87"/>
      <c r="W75" s="57">
        <f t="shared" si="54"/>
        <v>0</v>
      </c>
      <c r="X75" s="87"/>
      <c r="Y75" s="59"/>
      <c r="Z75" s="15">
        <f t="shared" si="55"/>
        <v>0</v>
      </c>
      <c r="AA75" s="15" t="str">
        <f t="shared" si="56"/>
        <v/>
      </c>
      <c r="AB75" s="69" t="str">
        <f>IFERROR(REPORTE[[#This Row],[Kg Exportados]]/REPORTE[[#This Row],[Ha]],"")</f>
        <v/>
      </c>
      <c r="AC75" s="65" t="str">
        <f>IFERROR(VLOOKUP(REPORTE[[#This Row],[Lote]],PROYECCION[],16,FALSE),"")</f>
        <v/>
      </c>
      <c r="AD75" s="66" t="s">
        <v>32</v>
      </c>
      <c r="AE75" s="2"/>
      <c r="AG75" s="2"/>
      <c r="AK75" s="2"/>
      <c r="AL75" s="2"/>
      <c r="AN75" s="2"/>
    </row>
    <row r="76" spans="1:40" ht="14.25" customHeight="1" x14ac:dyDescent="0.25">
      <c r="A76" s="42">
        <f t="shared" si="49"/>
        <v>14</v>
      </c>
      <c r="B76" s="42" t="str">
        <f>TEXT(REPORTE[[#This Row],[Fecha]],"MMMM")</f>
        <v>Abril</v>
      </c>
      <c r="C76" s="42" t="str">
        <f>IFERROR(VLOOKUP(REPORTE[[#This Row],[Lote]],PROYECCION[],3,FALSE),"")</f>
        <v/>
      </c>
      <c r="D76" s="47" t="str">
        <f>IFERROR(VLOOKUP(REPORTE[[#This Row],[Lote]],PROYECCION[],2,FALSE),"")</f>
        <v/>
      </c>
      <c r="E76" s="55"/>
      <c r="F76" s="53" t="str">
        <f>IFERROR(VLOOKUP(REPORTE[[#This Row],[Lote]],PROYECCION[],5,FALSE),"")</f>
        <v/>
      </c>
      <c r="G76" s="42" t="str">
        <f>IFERROR(VLOOKUP(REPORTE[[#This Row],[Lote]],PROYECCION[],4,FALSE),"")</f>
        <v/>
      </c>
      <c r="H76" s="42" t="str">
        <f>IFERROR(VLOOKUP(REPORTE[[#This Row],[Lote]],PROYECCION[],6,FALSE),"")</f>
        <v/>
      </c>
      <c r="I76" s="96">
        <v>18</v>
      </c>
      <c r="J76" s="15">
        <f>REPORTE[[#This Row],[% Calibre]]*SUM($S$68:$S$71)</f>
        <v>3119.9999999999882</v>
      </c>
      <c r="K76" s="44">
        <v>0.12750306497752301</v>
      </c>
      <c r="L76" s="42"/>
      <c r="M76" s="47"/>
      <c r="N76" s="84">
        <v>45384</v>
      </c>
      <c r="O76" s="85"/>
      <c r="P76" s="48" t="str">
        <f t="shared" si="50"/>
        <v/>
      </c>
      <c r="Q76" s="56">
        <f t="shared" si="51"/>
        <v>0</v>
      </c>
      <c r="R76" s="86"/>
      <c r="S76" s="57">
        <f t="shared" si="52"/>
        <v>0</v>
      </c>
      <c r="T76" s="87"/>
      <c r="U76" s="58">
        <f t="shared" si="53"/>
        <v>0</v>
      </c>
      <c r="V76" s="87"/>
      <c r="W76" s="57">
        <f t="shared" si="54"/>
        <v>0</v>
      </c>
      <c r="X76" s="87"/>
      <c r="Y76" s="59"/>
      <c r="Z76" s="15">
        <f t="shared" si="55"/>
        <v>0</v>
      </c>
      <c r="AA76" s="15" t="str">
        <f t="shared" si="56"/>
        <v/>
      </c>
      <c r="AB76" s="69" t="str">
        <f>IFERROR(REPORTE[[#This Row],[Kg Exportados]]/REPORTE[[#This Row],[Ha]],"")</f>
        <v/>
      </c>
      <c r="AC76" s="65" t="str">
        <f>IFERROR(VLOOKUP(REPORTE[[#This Row],[Lote]],PROYECCION[],16,FALSE),"")</f>
        <v/>
      </c>
      <c r="AD76" s="66" t="s">
        <v>32</v>
      </c>
      <c r="AE76" s="2"/>
      <c r="AG76" s="2"/>
      <c r="AK76" s="2"/>
      <c r="AL76" s="2"/>
      <c r="AN76" s="2"/>
    </row>
    <row r="77" spans="1:40" ht="14.25" customHeight="1" x14ac:dyDescent="0.25">
      <c r="A77" s="42">
        <f t="shared" si="49"/>
        <v>14</v>
      </c>
      <c r="B77" s="42" t="str">
        <f>TEXT(REPORTE[[#This Row],[Fecha]],"MMMM")</f>
        <v>Abril</v>
      </c>
      <c r="C77" s="42" t="str">
        <f>IFERROR(VLOOKUP(REPORTE[[#This Row],[Lote]],PROYECCION[],3,FALSE),"")</f>
        <v/>
      </c>
      <c r="D77" s="47" t="str">
        <f>IFERROR(VLOOKUP(REPORTE[[#This Row],[Lote]],PROYECCION[],2,FALSE),"")</f>
        <v/>
      </c>
      <c r="E77" s="55"/>
      <c r="F77" s="53" t="str">
        <f>IFERROR(VLOOKUP(REPORTE[[#This Row],[Lote]],PROYECCION[],5,FALSE),"")</f>
        <v/>
      </c>
      <c r="G77" s="42" t="str">
        <f>IFERROR(VLOOKUP(REPORTE[[#This Row],[Lote]],PROYECCION[],4,FALSE),"")</f>
        <v/>
      </c>
      <c r="H77" s="42" t="str">
        <f>IFERROR(VLOOKUP(REPORTE[[#This Row],[Lote]],PROYECCION[],6,FALSE),"")</f>
        <v/>
      </c>
      <c r="I77" s="96">
        <v>20</v>
      </c>
      <c r="J77" s="15">
        <f>REPORTE[[#This Row],[% Calibre]]*SUM($S$68:$S$71)</f>
        <v>210.00000000000122</v>
      </c>
      <c r="K77" s="44">
        <v>8.5819370657949003E-3</v>
      </c>
      <c r="L77" s="42"/>
      <c r="M77" s="47"/>
      <c r="N77" s="84">
        <v>45384</v>
      </c>
      <c r="O77" s="85"/>
      <c r="P77" s="48" t="str">
        <f t="shared" si="50"/>
        <v/>
      </c>
      <c r="Q77" s="56">
        <f t="shared" si="51"/>
        <v>0</v>
      </c>
      <c r="R77" s="86"/>
      <c r="S77" s="57">
        <f t="shared" si="52"/>
        <v>0</v>
      </c>
      <c r="T77" s="87"/>
      <c r="U77" s="58">
        <f t="shared" si="53"/>
        <v>0</v>
      </c>
      <c r="V77" s="87"/>
      <c r="W77" s="57">
        <f t="shared" si="54"/>
        <v>0</v>
      </c>
      <c r="X77" s="87"/>
      <c r="Y77" s="59"/>
      <c r="Z77" s="15">
        <f t="shared" si="55"/>
        <v>0</v>
      </c>
      <c r="AA77" s="15" t="str">
        <f t="shared" si="56"/>
        <v/>
      </c>
      <c r="AB77" s="69" t="str">
        <f>IFERROR(REPORTE[[#This Row],[Kg Exportados]]/REPORTE[[#This Row],[Ha]],"")</f>
        <v/>
      </c>
      <c r="AC77" s="65" t="str">
        <f>IFERROR(VLOOKUP(REPORTE[[#This Row],[Lote]],PROYECCION[],16,FALSE),"")</f>
        <v/>
      </c>
      <c r="AD77" s="66" t="s">
        <v>32</v>
      </c>
      <c r="AE77" s="2"/>
      <c r="AG77" s="2"/>
      <c r="AK77" s="2"/>
      <c r="AL77" s="2"/>
      <c r="AN77" s="2"/>
    </row>
    <row r="78" spans="1:40" ht="14.25" customHeight="1" x14ac:dyDescent="0.25">
      <c r="A78" s="42">
        <f t="shared" si="41"/>
        <v>14</v>
      </c>
      <c r="B78" s="42" t="str">
        <f>TEXT(REPORTE[[#This Row],[Fecha]],"MMMM")</f>
        <v>Abril</v>
      </c>
      <c r="C78" s="42" t="str">
        <f>IFERROR(VLOOKUP(REPORTE[[#This Row],[Lote]],PROYECCION[],3,FALSE),"")</f>
        <v>El Marsano</v>
      </c>
      <c r="D78" s="47" t="str">
        <f>IFERROR(VLOOKUP(REPORTE[[#This Row],[Lote]],PROYECCION[],2,FALSE),"")</f>
        <v>Agricola Guili S.A.C</v>
      </c>
      <c r="E78" s="55" t="s">
        <v>17</v>
      </c>
      <c r="F78" s="53">
        <f>IFERROR(VLOOKUP(REPORTE[[#This Row],[Lote]],PROYECCION[],5,FALSE),"")</f>
        <v>26.08</v>
      </c>
      <c r="G78" s="42" t="str">
        <f>IFERROR(VLOOKUP(REPORTE[[#This Row],[Lote]],PROYECCION[],4,FALSE),"")</f>
        <v>Hass</v>
      </c>
      <c r="H78" s="42" t="str">
        <f>IFERROR(VLOOKUP(REPORTE[[#This Row],[Lote]],PROYECCION[],6,FALSE),"")</f>
        <v>Negra</v>
      </c>
      <c r="I78" s="96"/>
      <c r="J78" s="15"/>
      <c r="K78" s="44"/>
      <c r="L78" s="42" t="s">
        <v>117</v>
      </c>
      <c r="M78" s="42" t="s">
        <v>119</v>
      </c>
      <c r="N78" s="84">
        <v>45384</v>
      </c>
      <c r="O78" s="85">
        <v>1</v>
      </c>
      <c r="P78" s="48">
        <f t="shared" si="42"/>
        <v>270</v>
      </c>
      <c r="Q78" s="56">
        <f t="shared" si="43"/>
        <v>27</v>
      </c>
      <c r="R78" s="86">
        <v>270</v>
      </c>
      <c r="S78" s="57">
        <f t="shared" si="44"/>
        <v>270</v>
      </c>
      <c r="T78" s="87">
        <v>1</v>
      </c>
      <c r="U78" s="58">
        <f t="shared" si="45"/>
        <v>0</v>
      </c>
      <c r="V78" s="87">
        <v>0</v>
      </c>
      <c r="W78" s="57">
        <f t="shared" si="46"/>
        <v>0</v>
      </c>
      <c r="X78" s="87">
        <v>0</v>
      </c>
      <c r="Y78" s="59"/>
      <c r="Z78" s="15">
        <f t="shared" si="47"/>
        <v>270</v>
      </c>
      <c r="AA78" s="15">
        <f t="shared" si="48"/>
        <v>10.35276073619632</v>
      </c>
      <c r="AB78" s="69">
        <f>IFERROR(REPORTE[[#This Row],[Kg Exportados]]/REPORTE[[#This Row],[Ha]],"")</f>
        <v>10.35276073619632</v>
      </c>
      <c r="AC78" s="65" t="str">
        <f>IFERROR(VLOOKUP(REPORTE[[#This Row],[Lote]],PROYECCION[],16,FALSE),"")</f>
        <v>Cosechando</v>
      </c>
      <c r="AD78" s="66" t="s">
        <v>72</v>
      </c>
      <c r="AE78" s="2"/>
      <c r="AG78" s="2"/>
      <c r="AK78" s="2"/>
      <c r="AL78" s="2"/>
      <c r="AN78" s="2"/>
    </row>
    <row r="79" spans="1:40" ht="14.25" customHeight="1" x14ac:dyDescent="0.25">
      <c r="A79" s="42">
        <f t="shared" ref="A79:A110" si="57">WEEKNUM(N79)</f>
        <v>14</v>
      </c>
      <c r="B79" s="42" t="str">
        <f>TEXT(REPORTE[[#This Row],[Fecha]],"MMMM")</f>
        <v>Abril</v>
      </c>
      <c r="C79" s="42" t="str">
        <f>IFERROR(VLOOKUP(REPORTE[[#This Row],[Lote]],PROYECCION[],3,FALSE),"")</f>
        <v>El Marsano</v>
      </c>
      <c r="D79" s="47" t="str">
        <f>IFERROR(VLOOKUP(REPORTE[[#This Row],[Lote]],PROYECCION[],2,FALSE),"")</f>
        <v>Agricola Guili S.A.C</v>
      </c>
      <c r="E79" s="55" t="s">
        <v>13</v>
      </c>
      <c r="F79" s="53">
        <f>IFERROR(VLOOKUP(REPORTE[[#This Row],[Lote]],PROYECCION[],5,FALSE),"")</f>
        <v>13.41</v>
      </c>
      <c r="G79" s="42" t="str">
        <f>IFERROR(VLOOKUP(REPORTE[[#This Row],[Lote]],PROYECCION[],4,FALSE),"")</f>
        <v>Hass</v>
      </c>
      <c r="H79" s="42" t="str">
        <f>IFERROR(VLOOKUP(REPORTE[[#This Row],[Lote]],PROYECCION[],6,FALSE),"")</f>
        <v>Negra</v>
      </c>
      <c r="I79" s="96"/>
      <c r="J79" s="15"/>
      <c r="K79" s="44"/>
      <c r="L79" s="42" t="s">
        <v>117</v>
      </c>
      <c r="M79" s="42" t="s">
        <v>119</v>
      </c>
      <c r="N79" s="84">
        <v>45384</v>
      </c>
      <c r="O79" s="85">
        <v>1</v>
      </c>
      <c r="P79" s="48">
        <f t="shared" ref="P79:P110" si="58">IFERROR((+R79/O79),"")</f>
        <v>50</v>
      </c>
      <c r="Q79" s="56">
        <f t="shared" ref="Q79:Q110" si="59">+S79/10</f>
        <v>5</v>
      </c>
      <c r="R79" s="86">
        <v>50</v>
      </c>
      <c r="S79" s="57">
        <f t="shared" ref="S79:S110" si="60">+R79*T79</f>
        <v>50</v>
      </c>
      <c r="T79" s="87">
        <v>1</v>
      </c>
      <c r="U79" s="58">
        <f t="shared" ref="U79:U110" si="61">R79*V79</f>
        <v>0</v>
      </c>
      <c r="V79" s="87">
        <v>0</v>
      </c>
      <c r="W79" s="57">
        <f t="shared" ref="W79:W110" si="62">R79*X79</f>
        <v>0</v>
      </c>
      <c r="X79" s="87">
        <v>0</v>
      </c>
      <c r="Y79" s="59"/>
      <c r="Z79" s="15">
        <f t="shared" ref="Z79:Z110" si="63">R79+Y79</f>
        <v>50</v>
      </c>
      <c r="AA79" s="15">
        <f t="shared" ref="AA79:AA110" si="64">IFERROR((Z79/F79),"")</f>
        <v>3.7285607755406414</v>
      </c>
      <c r="AB79" s="69">
        <f>IFERROR(REPORTE[[#This Row],[Kg Exportados]]/REPORTE[[#This Row],[Ha]],"")</f>
        <v>3.7285607755406414</v>
      </c>
      <c r="AC79" s="65" t="str">
        <f>IFERROR(VLOOKUP(REPORTE[[#This Row],[Lote]],PROYECCION[],16,FALSE),"")</f>
        <v>Cosechando</v>
      </c>
      <c r="AD79" s="66" t="s">
        <v>72</v>
      </c>
      <c r="AE79" s="2"/>
      <c r="AG79" s="2"/>
      <c r="AK79" s="2"/>
      <c r="AL79" s="2"/>
      <c r="AN79" s="2"/>
    </row>
    <row r="80" spans="1:40" ht="14.25" customHeight="1" x14ac:dyDescent="0.25">
      <c r="A80" s="42">
        <f t="shared" si="57"/>
        <v>14</v>
      </c>
      <c r="B80" s="42" t="str">
        <f>TEXT(REPORTE[[#This Row],[Fecha]],"MMMM")</f>
        <v>Abril</v>
      </c>
      <c r="C80" s="42" t="str">
        <f>IFERROR(VLOOKUP(REPORTE[[#This Row],[Lote]],PROYECCION[],3,FALSE),"")</f>
        <v/>
      </c>
      <c r="D80" s="47" t="str">
        <f>IFERROR(VLOOKUP(REPORTE[[#This Row],[Lote]],PROYECCION[],2,FALSE),"")</f>
        <v/>
      </c>
      <c r="E80" s="55"/>
      <c r="F80" s="53" t="str">
        <f>IFERROR(VLOOKUP(REPORTE[[#This Row],[Lote]],PROYECCION[],5,FALSE),"")</f>
        <v/>
      </c>
      <c r="G80" s="42" t="str">
        <f>IFERROR(VLOOKUP(REPORTE[[#This Row],[Lote]],PROYECCION[],4,FALSE),"")</f>
        <v/>
      </c>
      <c r="H80" s="42" t="str">
        <f>IFERROR(VLOOKUP(REPORTE[[#This Row],[Lote]],PROYECCION[],6,FALSE),"")</f>
        <v/>
      </c>
      <c r="I80" s="96" t="s">
        <v>153</v>
      </c>
      <c r="J80" s="15">
        <f>REPORTE[[#This Row],[% Calibre]]*SUM($S$78:$S$79)</f>
        <v>270</v>
      </c>
      <c r="K80" s="44">
        <v>0.84375</v>
      </c>
      <c r="L80" s="42"/>
      <c r="M80" s="47"/>
      <c r="N80" s="84">
        <v>45384</v>
      </c>
      <c r="O80" s="85"/>
      <c r="P80" s="48" t="str">
        <f t="shared" si="58"/>
        <v/>
      </c>
      <c r="Q80" s="56">
        <f t="shared" si="59"/>
        <v>0</v>
      </c>
      <c r="R80" s="86"/>
      <c r="S80" s="57">
        <f t="shared" si="60"/>
        <v>0</v>
      </c>
      <c r="T80" s="87"/>
      <c r="U80" s="58">
        <f t="shared" si="61"/>
        <v>0</v>
      </c>
      <c r="V80" s="87"/>
      <c r="W80" s="57">
        <f t="shared" si="62"/>
        <v>0</v>
      </c>
      <c r="X80" s="87"/>
      <c r="Y80" s="59"/>
      <c r="Z80" s="15">
        <f t="shared" si="63"/>
        <v>0</v>
      </c>
      <c r="AA80" s="15" t="str">
        <f t="shared" si="64"/>
        <v/>
      </c>
      <c r="AB80" s="69" t="str">
        <f>IFERROR(REPORTE[[#This Row],[Kg Exportados]]/REPORTE[[#This Row],[Ha]],"")</f>
        <v/>
      </c>
      <c r="AC80" s="65" t="str">
        <f>IFERROR(VLOOKUP(REPORTE[[#This Row],[Lote]],PROYECCION[],16,FALSE),"")</f>
        <v/>
      </c>
      <c r="AD80" s="66" t="s">
        <v>72</v>
      </c>
      <c r="AE80" s="2"/>
      <c r="AG80" s="2"/>
      <c r="AK80" s="2"/>
      <c r="AL80" s="2"/>
      <c r="AN80" s="2"/>
    </row>
    <row r="81" spans="1:40" ht="14.25" customHeight="1" x14ac:dyDescent="0.25">
      <c r="A81" s="42">
        <f t="shared" si="57"/>
        <v>14</v>
      </c>
      <c r="B81" s="42" t="str">
        <f>TEXT(REPORTE[[#This Row],[Fecha]],"MMMM")</f>
        <v>Abril</v>
      </c>
      <c r="C81" s="42" t="str">
        <f>IFERROR(VLOOKUP(REPORTE[[#This Row],[Lote]],PROYECCION[],3,FALSE),"")</f>
        <v/>
      </c>
      <c r="D81" s="47" t="str">
        <f>IFERROR(VLOOKUP(REPORTE[[#This Row],[Lote]],PROYECCION[],2,FALSE),"")</f>
        <v/>
      </c>
      <c r="E81" s="55"/>
      <c r="F81" s="53" t="str">
        <f>IFERROR(VLOOKUP(REPORTE[[#This Row],[Lote]],PROYECCION[],5,FALSE),"")</f>
        <v/>
      </c>
      <c r="G81" s="42" t="str">
        <f>IFERROR(VLOOKUP(REPORTE[[#This Row],[Lote]],PROYECCION[],4,FALSE),"")</f>
        <v/>
      </c>
      <c r="H81" s="42" t="str">
        <f>IFERROR(VLOOKUP(REPORTE[[#This Row],[Lote]],PROYECCION[],6,FALSE),"")</f>
        <v/>
      </c>
      <c r="I81" s="96" t="s">
        <v>159</v>
      </c>
      <c r="J81" s="15">
        <f>REPORTE[[#This Row],[% Calibre]]*SUM($S$78:$S$79)</f>
        <v>50</v>
      </c>
      <c r="K81" s="44">
        <v>0.15625</v>
      </c>
      <c r="L81" s="42"/>
      <c r="M81" s="47"/>
      <c r="N81" s="84">
        <v>45384</v>
      </c>
      <c r="O81" s="85"/>
      <c r="P81" s="48" t="str">
        <f t="shared" si="58"/>
        <v/>
      </c>
      <c r="Q81" s="56">
        <f t="shared" si="59"/>
        <v>0</v>
      </c>
      <c r="R81" s="86"/>
      <c r="S81" s="57">
        <f t="shared" si="60"/>
        <v>0</v>
      </c>
      <c r="T81" s="87"/>
      <c r="U81" s="58">
        <f t="shared" si="61"/>
        <v>0</v>
      </c>
      <c r="V81" s="87"/>
      <c r="W81" s="57">
        <f t="shared" si="62"/>
        <v>0</v>
      </c>
      <c r="X81" s="87"/>
      <c r="Y81" s="59"/>
      <c r="Z81" s="15">
        <f t="shared" si="63"/>
        <v>0</v>
      </c>
      <c r="AA81" s="15" t="str">
        <f t="shared" si="64"/>
        <v/>
      </c>
      <c r="AB81" s="69" t="str">
        <f>IFERROR(REPORTE[[#This Row],[Kg Exportados]]/REPORTE[[#This Row],[Ha]],"")</f>
        <v/>
      </c>
      <c r="AC81" s="65" t="str">
        <f>IFERROR(VLOOKUP(REPORTE[[#This Row],[Lote]],PROYECCION[],16,FALSE),"")</f>
        <v/>
      </c>
      <c r="AD81" s="66" t="s">
        <v>72</v>
      </c>
      <c r="AE81" s="2"/>
      <c r="AG81" s="2"/>
      <c r="AK81" s="2"/>
      <c r="AL81" s="2"/>
      <c r="AN81" s="2"/>
    </row>
    <row r="82" spans="1:40" ht="14.25" customHeight="1" x14ac:dyDescent="0.25">
      <c r="A82" s="42">
        <f t="shared" si="57"/>
        <v>14</v>
      </c>
      <c r="B82" s="42" t="str">
        <f>TEXT(REPORTE[[#This Row],[Fecha]],"MMMM")</f>
        <v>Abril</v>
      </c>
      <c r="C82" s="42" t="str">
        <f>IFERROR(VLOOKUP(REPORTE[[#This Row],[Lote]],PROYECCION[],3,FALSE),"")</f>
        <v>El Marsano</v>
      </c>
      <c r="D82" s="47" t="str">
        <f>IFERROR(VLOOKUP(REPORTE[[#This Row],[Lote]],PROYECCION[],2,FALSE),"")</f>
        <v>Agricola Guili S.A.C</v>
      </c>
      <c r="E82" s="65" t="s">
        <v>19</v>
      </c>
      <c r="F82" s="53">
        <f>IFERROR(VLOOKUP(REPORTE[[#This Row],[Lote]],PROYECCION[],5,FALSE),"")</f>
        <v>10.72</v>
      </c>
      <c r="G82" s="42" t="str">
        <f>IFERROR(VLOOKUP(REPORTE[[#This Row],[Lote]],PROYECCION[],4,FALSE),"")</f>
        <v>Hass</v>
      </c>
      <c r="H82" s="42" t="str">
        <f>IFERROR(VLOOKUP(REPORTE[[#This Row],[Lote]],PROYECCION[],6,FALSE),"")</f>
        <v>Negra</v>
      </c>
      <c r="I82" s="96"/>
      <c r="J82" s="15"/>
      <c r="K82" s="44"/>
      <c r="L82" s="42" t="s">
        <v>150</v>
      </c>
      <c r="M82" s="47" t="s">
        <v>151</v>
      </c>
      <c r="N82" s="84">
        <v>45385</v>
      </c>
      <c r="O82" s="85">
        <v>18</v>
      </c>
      <c r="P82" s="48">
        <f t="shared" si="58"/>
        <v>424.375</v>
      </c>
      <c r="Q82" s="56">
        <f t="shared" si="59"/>
        <v>734.35617113564626</v>
      </c>
      <c r="R82" s="86">
        <v>7638.75</v>
      </c>
      <c r="S82" s="57">
        <f t="shared" si="60"/>
        <v>7343.5617113564622</v>
      </c>
      <c r="T82" s="87">
        <v>0.96135646687697096</v>
      </c>
      <c r="U82" s="58">
        <f t="shared" si="61"/>
        <v>16.184149743690732</v>
      </c>
      <c r="V82" s="87">
        <v>2.1186908517350001E-3</v>
      </c>
      <c r="W82" s="57">
        <f t="shared" si="62"/>
        <v>279.00413889984247</v>
      </c>
      <c r="X82" s="87">
        <v>3.6524842271293399E-2</v>
      </c>
      <c r="Y82" s="59"/>
      <c r="Z82" s="15">
        <f t="shared" si="63"/>
        <v>7638.75</v>
      </c>
      <c r="AA82" s="15">
        <f t="shared" si="64"/>
        <v>712.56996268656712</v>
      </c>
      <c r="AB82" s="69">
        <f>IFERROR(REPORTE[[#This Row],[Kg Exportados]]/REPORTE[[#This Row],[Ha]],"")</f>
        <v>685.03374173101327</v>
      </c>
      <c r="AC82" s="65" t="str">
        <f>IFERROR(VLOOKUP(REPORTE[[#This Row],[Lote]],PROYECCION[],16,FALSE),"")</f>
        <v>Cosechando</v>
      </c>
      <c r="AD82" s="66" t="s">
        <v>32</v>
      </c>
      <c r="AE82" s="2"/>
      <c r="AG82" s="2"/>
      <c r="AK82" s="2"/>
      <c r="AL82" s="2"/>
      <c r="AN82" s="2"/>
    </row>
    <row r="83" spans="1:40" ht="14.25" customHeight="1" x14ac:dyDescent="0.25">
      <c r="A83" s="42">
        <f t="shared" si="57"/>
        <v>14</v>
      </c>
      <c r="B83" s="42" t="str">
        <f>TEXT(REPORTE[[#This Row],[Fecha]],"MMMM")</f>
        <v>Abril</v>
      </c>
      <c r="C83" s="42" t="str">
        <f>IFERROR(VLOOKUP(REPORTE[[#This Row],[Lote]],PROYECCION[],3,FALSE),"")</f>
        <v>Don Nico</v>
      </c>
      <c r="D83" s="47" t="str">
        <f>IFERROR(VLOOKUP(REPORTE[[#This Row],[Lote]],PROYECCION[],2,FALSE),"")</f>
        <v>Agricola Guili S.A.C</v>
      </c>
      <c r="E83" s="65" t="s">
        <v>42</v>
      </c>
      <c r="F83" s="53">
        <f>IFERROR(VLOOKUP(REPORTE[[#This Row],[Lote]],PROYECCION[],5,FALSE),"")</f>
        <v>17.182773109243698</v>
      </c>
      <c r="G83" s="42" t="str">
        <f>IFERROR(VLOOKUP(REPORTE[[#This Row],[Lote]],PROYECCION[],4,FALSE),"")</f>
        <v>Hass</v>
      </c>
      <c r="H83" s="42" t="str">
        <f>IFERROR(VLOOKUP(REPORTE[[#This Row],[Lote]],PROYECCION[],6,FALSE),"")</f>
        <v>Negra</v>
      </c>
      <c r="I83" s="96"/>
      <c r="J83" s="15"/>
      <c r="K83" s="44"/>
      <c r="L83" s="42" t="s">
        <v>150</v>
      </c>
      <c r="M83" s="47" t="s">
        <v>151</v>
      </c>
      <c r="N83" s="84">
        <v>45385</v>
      </c>
      <c r="O83" s="85">
        <v>18</v>
      </c>
      <c r="P83" s="48">
        <f t="shared" si="58"/>
        <v>424.375</v>
      </c>
      <c r="Q83" s="56">
        <f t="shared" si="59"/>
        <v>734.35617113564626</v>
      </c>
      <c r="R83" s="86">
        <v>7638.75</v>
      </c>
      <c r="S83" s="57">
        <f t="shared" si="60"/>
        <v>7343.5617113564622</v>
      </c>
      <c r="T83" s="87">
        <v>0.96135646687697096</v>
      </c>
      <c r="U83" s="58">
        <f t="shared" si="61"/>
        <v>16.184149743690732</v>
      </c>
      <c r="V83" s="87">
        <v>2.1186908517350001E-3</v>
      </c>
      <c r="W83" s="57">
        <f t="shared" si="62"/>
        <v>279.00413889984247</v>
      </c>
      <c r="X83" s="87">
        <v>3.6524842271293399E-2</v>
      </c>
      <c r="Y83" s="59"/>
      <c r="Z83" s="15">
        <f t="shared" si="63"/>
        <v>7638.75</v>
      </c>
      <c r="AA83" s="15">
        <f t="shared" si="64"/>
        <v>444.55862574886908</v>
      </c>
      <c r="AB83" s="69">
        <f>IFERROR(REPORTE[[#This Row],[Kg Exportados]]/REPORTE[[#This Row],[Ha]],"")</f>
        <v>427.37930976961439</v>
      </c>
      <c r="AC83" s="65" t="str">
        <f>IFERROR(VLOOKUP(REPORTE[[#This Row],[Lote]],PROYECCION[],16,FALSE),"")</f>
        <v>Cosechando</v>
      </c>
      <c r="AD83" s="66" t="s">
        <v>32</v>
      </c>
      <c r="AE83" s="2"/>
      <c r="AG83" s="2"/>
      <c r="AK83" s="2"/>
      <c r="AL83" s="2"/>
      <c r="AN83" s="2"/>
    </row>
    <row r="84" spans="1:40" ht="14.25" customHeight="1" x14ac:dyDescent="0.25">
      <c r="A84" s="42">
        <f t="shared" si="57"/>
        <v>14</v>
      </c>
      <c r="B84" s="42" t="str">
        <f>TEXT(REPORTE[[#This Row],[Fecha]],"MMMM")</f>
        <v>Abril</v>
      </c>
      <c r="C84" s="42" t="str">
        <f>IFERROR(VLOOKUP(REPORTE[[#This Row],[Lote]],PROYECCION[],3,FALSE),"")</f>
        <v>Don Nico</v>
      </c>
      <c r="D84" s="47" t="str">
        <f>IFERROR(VLOOKUP(REPORTE[[#This Row],[Lote]],PROYECCION[],2,FALSE),"")</f>
        <v>Agricola Guili S.A.C</v>
      </c>
      <c r="E84" s="65" t="s">
        <v>42</v>
      </c>
      <c r="F84" s="53">
        <f>IFERROR(VLOOKUP(REPORTE[[#This Row],[Lote]],PROYECCION[],5,FALSE),"")</f>
        <v>17.182773109243698</v>
      </c>
      <c r="G84" s="42" t="str">
        <f>IFERROR(VLOOKUP(REPORTE[[#This Row],[Lote]],PROYECCION[],4,FALSE),"")</f>
        <v>Hass</v>
      </c>
      <c r="H84" s="42" t="str">
        <f>IFERROR(VLOOKUP(REPORTE[[#This Row],[Lote]],PROYECCION[],6,FALSE),"")</f>
        <v>Negra</v>
      </c>
      <c r="I84" s="96"/>
      <c r="J84" s="15"/>
      <c r="K84" s="44"/>
      <c r="L84" s="42" t="s">
        <v>150</v>
      </c>
      <c r="M84" s="47" t="s">
        <v>151</v>
      </c>
      <c r="N84" s="84">
        <v>45385</v>
      </c>
      <c r="O84" s="85">
        <v>2</v>
      </c>
      <c r="P84" s="48">
        <f t="shared" si="58"/>
        <v>420.10500000000002</v>
      </c>
      <c r="Q84" s="56">
        <f t="shared" si="59"/>
        <v>80.774131703469976</v>
      </c>
      <c r="R84" s="86">
        <v>840.21</v>
      </c>
      <c r="S84" s="57">
        <f t="shared" si="60"/>
        <v>807.74131703469982</v>
      </c>
      <c r="T84" s="87">
        <v>0.96135646687697096</v>
      </c>
      <c r="U84" s="58">
        <f t="shared" si="61"/>
        <v>1.7801452405362646</v>
      </c>
      <c r="V84" s="87">
        <v>2.1186908517350001E-3</v>
      </c>
      <c r="W84" s="57">
        <f t="shared" si="62"/>
        <v>30.688537724763428</v>
      </c>
      <c r="X84" s="87">
        <v>3.6524842271293399E-2</v>
      </c>
      <c r="Y84" s="59"/>
      <c r="Z84" s="15">
        <f t="shared" si="63"/>
        <v>840.21</v>
      </c>
      <c r="AA84" s="15">
        <f t="shared" si="64"/>
        <v>48.898393446631616</v>
      </c>
      <c r="AB84" s="69">
        <f>IFERROR(REPORTE[[#This Row],[Kg Exportados]]/REPORTE[[#This Row],[Ha]],"")</f>
        <v>47.008786759813802</v>
      </c>
      <c r="AC84" s="65" t="str">
        <f>IFERROR(VLOOKUP(REPORTE[[#This Row],[Lote]],PROYECCION[],16,FALSE),"")</f>
        <v>Cosechando</v>
      </c>
      <c r="AD84" s="66" t="s">
        <v>32</v>
      </c>
      <c r="AE84" s="2"/>
      <c r="AG84" s="2"/>
      <c r="AK84" s="2"/>
      <c r="AL84" s="2"/>
      <c r="AN84" s="2"/>
    </row>
    <row r="85" spans="1:40" ht="14.25" customHeight="1" x14ac:dyDescent="0.25">
      <c r="A85" s="42">
        <f t="shared" si="57"/>
        <v>14</v>
      </c>
      <c r="B85" s="42" t="str">
        <f>TEXT(REPORTE[[#This Row],[Fecha]],"MMMM")</f>
        <v>Abril</v>
      </c>
      <c r="C85" s="42" t="str">
        <f>IFERROR(VLOOKUP(REPORTE[[#This Row],[Lote]],PROYECCION[],3,FALSE),"")</f>
        <v>El Marsano</v>
      </c>
      <c r="D85" s="47" t="str">
        <f>IFERROR(VLOOKUP(REPORTE[[#This Row],[Lote]],PROYECCION[],2,FALSE),"")</f>
        <v>Agricola Guili S.A.C</v>
      </c>
      <c r="E85" s="65" t="s">
        <v>17</v>
      </c>
      <c r="F85" s="53">
        <f>IFERROR(VLOOKUP(REPORTE[[#This Row],[Lote]],PROYECCION[],5,FALSE),"")</f>
        <v>26.08</v>
      </c>
      <c r="G85" s="42" t="str">
        <f>IFERROR(VLOOKUP(REPORTE[[#This Row],[Lote]],PROYECCION[],4,FALSE),"")</f>
        <v>Hass</v>
      </c>
      <c r="H85" s="42" t="str">
        <f>IFERROR(VLOOKUP(REPORTE[[#This Row],[Lote]],PROYECCION[],6,FALSE),"")</f>
        <v>Negra</v>
      </c>
      <c r="I85" s="96"/>
      <c r="J85" s="15"/>
      <c r="K85" s="44"/>
      <c r="L85" s="42" t="s">
        <v>150</v>
      </c>
      <c r="M85" s="47" t="s">
        <v>151</v>
      </c>
      <c r="N85" s="84">
        <v>45385</v>
      </c>
      <c r="O85" s="85">
        <v>2</v>
      </c>
      <c r="P85" s="48">
        <f t="shared" si="58"/>
        <v>420.10500000000002</v>
      </c>
      <c r="Q85" s="56">
        <f t="shared" si="59"/>
        <v>80.774131703469976</v>
      </c>
      <c r="R85" s="86">
        <v>840.21</v>
      </c>
      <c r="S85" s="57">
        <f t="shared" si="60"/>
        <v>807.74131703469982</v>
      </c>
      <c r="T85" s="87">
        <v>0.96135646687697096</v>
      </c>
      <c r="U85" s="58">
        <f t="shared" si="61"/>
        <v>1.7801452405362646</v>
      </c>
      <c r="V85" s="87">
        <v>2.1186908517350001E-3</v>
      </c>
      <c r="W85" s="57">
        <f t="shared" si="62"/>
        <v>30.688537724763428</v>
      </c>
      <c r="X85" s="87">
        <v>3.6524842271293399E-2</v>
      </c>
      <c r="Y85" s="59"/>
      <c r="Z85" s="15">
        <f t="shared" si="63"/>
        <v>840.21</v>
      </c>
      <c r="AA85" s="15">
        <f t="shared" si="64"/>
        <v>32.216641104294482</v>
      </c>
      <c r="AB85" s="69">
        <f>IFERROR(REPORTE[[#This Row],[Kg Exportados]]/REPORTE[[#This Row],[Ha]],"")</f>
        <v>30.971676266667941</v>
      </c>
      <c r="AC85" s="65" t="str">
        <f>IFERROR(VLOOKUP(REPORTE[[#This Row],[Lote]],PROYECCION[],16,FALSE),"")</f>
        <v>Cosechando</v>
      </c>
      <c r="AD85" s="66" t="s">
        <v>32</v>
      </c>
      <c r="AE85" s="2"/>
      <c r="AG85" s="2"/>
      <c r="AK85" s="2"/>
      <c r="AL85" s="2"/>
      <c r="AN85" s="2"/>
    </row>
    <row r="86" spans="1:40" ht="14.25" customHeight="1" x14ac:dyDescent="0.25">
      <c r="A86" s="42">
        <f t="shared" si="57"/>
        <v>14</v>
      </c>
      <c r="B86" s="42" t="str">
        <f>TEXT(REPORTE[[#This Row],[Fecha]],"MMMM")</f>
        <v>Abril</v>
      </c>
      <c r="C86" s="42" t="str">
        <f>IFERROR(VLOOKUP(REPORTE[[#This Row],[Lote]],PROYECCION[],3,FALSE),"")</f>
        <v>El Marsano</v>
      </c>
      <c r="D86" s="47" t="str">
        <f>IFERROR(VLOOKUP(REPORTE[[#This Row],[Lote]],PROYECCION[],2,FALSE),"")</f>
        <v>Agricola Guili S.A.C</v>
      </c>
      <c r="E86" s="65" t="s">
        <v>13</v>
      </c>
      <c r="F86" s="53">
        <f>IFERROR(VLOOKUP(REPORTE[[#This Row],[Lote]],PROYECCION[],5,FALSE),"")</f>
        <v>13.41</v>
      </c>
      <c r="G86" s="42" t="str">
        <f>IFERROR(VLOOKUP(REPORTE[[#This Row],[Lote]],PROYECCION[],4,FALSE),"")</f>
        <v>Hass</v>
      </c>
      <c r="H86" s="42" t="str">
        <f>IFERROR(VLOOKUP(REPORTE[[#This Row],[Lote]],PROYECCION[],6,FALSE),"")</f>
        <v>Negra</v>
      </c>
      <c r="I86" s="96"/>
      <c r="J86" s="15"/>
      <c r="K86" s="44"/>
      <c r="L86" s="42" t="s">
        <v>150</v>
      </c>
      <c r="M86" s="47" t="s">
        <v>151</v>
      </c>
      <c r="N86" s="84">
        <v>45385</v>
      </c>
      <c r="O86" s="85">
        <v>20</v>
      </c>
      <c r="P86" s="48">
        <f t="shared" si="58"/>
        <v>420.10399999999998</v>
      </c>
      <c r="Q86" s="56">
        <f t="shared" si="59"/>
        <v>807.73939432176599</v>
      </c>
      <c r="R86" s="86">
        <v>8402.08</v>
      </c>
      <c r="S86" s="57">
        <f t="shared" si="60"/>
        <v>8077.3939432176603</v>
      </c>
      <c r="T86" s="87">
        <v>0.96135646687697096</v>
      </c>
      <c r="U86" s="58">
        <f t="shared" si="61"/>
        <v>17.801410031545611</v>
      </c>
      <c r="V86" s="87">
        <v>2.1186908517350001E-3</v>
      </c>
      <c r="W86" s="57">
        <f t="shared" si="62"/>
        <v>306.88464675078882</v>
      </c>
      <c r="X86" s="87">
        <v>3.6524842271293399E-2</v>
      </c>
      <c r="Y86" s="59"/>
      <c r="Z86" s="15">
        <f t="shared" si="63"/>
        <v>8402.08</v>
      </c>
      <c r="AA86" s="15">
        <f t="shared" si="64"/>
        <v>626.55331841909026</v>
      </c>
      <c r="AB86" s="69">
        <f>IFERROR(REPORTE[[#This Row],[Kg Exportados]]/REPORTE[[#This Row],[Ha]],"")</f>
        <v>602.34108450541839</v>
      </c>
      <c r="AC86" s="65" t="str">
        <f>IFERROR(VLOOKUP(REPORTE[[#This Row],[Lote]],PROYECCION[],16,FALSE),"")</f>
        <v>Cosechando</v>
      </c>
      <c r="AD86" s="66" t="s">
        <v>32</v>
      </c>
      <c r="AE86" s="2"/>
      <c r="AG86" s="2"/>
      <c r="AK86" s="2"/>
      <c r="AL86" s="2"/>
      <c r="AN86" s="2"/>
    </row>
    <row r="87" spans="1:40" ht="14.25" customHeight="1" x14ac:dyDescent="0.25">
      <c r="A87" s="42">
        <f t="shared" si="57"/>
        <v>14</v>
      </c>
      <c r="B87" s="42" t="str">
        <f>TEXT(REPORTE[[#This Row],[Fecha]],"MMMM")</f>
        <v>Abril</v>
      </c>
      <c r="C87" s="42" t="str">
        <f>IFERROR(VLOOKUP(REPORTE[[#This Row],[Lote]],PROYECCION[],3,FALSE),"")</f>
        <v/>
      </c>
      <c r="D87" s="47" t="str">
        <f>IFERROR(VLOOKUP(REPORTE[[#This Row],[Lote]],PROYECCION[],2,FALSE),"")</f>
        <v/>
      </c>
      <c r="E87" s="65"/>
      <c r="F87" s="53" t="str">
        <f>IFERROR(VLOOKUP(REPORTE[[#This Row],[Lote]],PROYECCION[],5,FALSE),"")</f>
        <v/>
      </c>
      <c r="G87" s="42" t="str">
        <f>IFERROR(VLOOKUP(REPORTE[[#This Row],[Lote]],PROYECCION[],4,FALSE),"")</f>
        <v/>
      </c>
      <c r="H87" s="42" t="str">
        <f>IFERROR(VLOOKUP(REPORTE[[#This Row],[Lote]],PROYECCION[],6,FALSE),"")</f>
        <v/>
      </c>
      <c r="I87" s="96">
        <v>10</v>
      </c>
      <c r="J87" s="15">
        <f>SUM($S$82:$S$86)*REPORTE[[#This Row],[% Calibre]]</f>
        <v>449.99999999999972</v>
      </c>
      <c r="K87" s="44">
        <v>1.84577522559475E-2</v>
      </c>
      <c r="L87" s="42"/>
      <c r="M87" s="47"/>
      <c r="N87" s="84">
        <v>45385</v>
      </c>
      <c r="O87" s="85"/>
      <c r="P87" s="48" t="str">
        <f t="shared" si="58"/>
        <v/>
      </c>
      <c r="Q87" s="56">
        <f t="shared" si="59"/>
        <v>0</v>
      </c>
      <c r="R87" s="86"/>
      <c r="S87" s="57">
        <f t="shared" si="60"/>
        <v>0</v>
      </c>
      <c r="T87" s="87"/>
      <c r="U87" s="58">
        <f t="shared" si="61"/>
        <v>0</v>
      </c>
      <c r="V87" s="87"/>
      <c r="W87" s="57">
        <f t="shared" si="62"/>
        <v>0</v>
      </c>
      <c r="X87" s="87"/>
      <c r="Y87" s="59"/>
      <c r="Z87" s="15">
        <f t="shared" si="63"/>
        <v>0</v>
      </c>
      <c r="AA87" s="15" t="str">
        <f t="shared" si="64"/>
        <v/>
      </c>
      <c r="AB87" s="69" t="str">
        <f>IFERROR(REPORTE[[#This Row],[Kg Exportados]]/REPORTE[[#This Row],[Ha]],"")</f>
        <v/>
      </c>
      <c r="AC87" s="65" t="str">
        <f>IFERROR(VLOOKUP(REPORTE[[#This Row],[Lote]],PROYECCION[],16,FALSE),"")</f>
        <v/>
      </c>
      <c r="AD87" s="66" t="s">
        <v>32</v>
      </c>
      <c r="AE87" s="2"/>
      <c r="AG87" s="2"/>
      <c r="AK87" s="2"/>
      <c r="AL87" s="2"/>
      <c r="AN87" s="2"/>
    </row>
    <row r="88" spans="1:40" ht="14.25" customHeight="1" x14ac:dyDescent="0.25">
      <c r="A88" s="42">
        <f t="shared" si="57"/>
        <v>14</v>
      </c>
      <c r="B88" s="42" t="str">
        <f>TEXT(REPORTE[[#This Row],[Fecha]],"MMMM")</f>
        <v>Abril</v>
      </c>
      <c r="C88" s="42" t="str">
        <f>IFERROR(VLOOKUP(REPORTE[[#This Row],[Lote]],PROYECCION[],3,FALSE),"")</f>
        <v/>
      </c>
      <c r="D88" s="47" t="str">
        <f>IFERROR(VLOOKUP(REPORTE[[#This Row],[Lote]],PROYECCION[],2,FALSE),"")</f>
        <v/>
      </c>
      <c r="E88" s="65"/>
      <c r="F88" s="53" t="str">
        <f>IFERROR(VLOOKUP(REPORTE[[#This Row],[Lote]],PROYECCION[],5,FALSE),"")</f>
        <v/>
      </c>
      <c r="G88" s="42" t="str">
        <f>IFERROR(VLOOKUP(REPORTE[[#This Row],[Lote]],PROYECCION[],4,FALSE),"")</f>
        <v/>
      </c>
      <c r="H88" s="42" t="str">
        <f>IFERROR(VLOOKUP(REPORTE[[#This Row],[Lote]],PROYECCION[],6,FALSE),"")</f>
        <v/>
      </c>
      <c r="I88" s="96">
        <v>12</v>
      </c>
      <c r="J88" s="15">
        <f>SUM($S$82:$S$86)*REPORTE[[#This Row],[% Calibre]]</f>
        <v>2669.9999999999782</v>
      </c>
      <c r="K88" s="44">
        <v>0.109515996718621</v>
      </c>
      <c r="L88" s="42"/>
      <c r="M88" s="47"/>
      <c r="N88" s="84">
        <v>45385</v>
      </c>
      <c r="O88" s="85"/>
      <c r="P88" s="48" t="str">
        <f t="shared" si="58"/>
        <v/>
      </c>
      <c r="Q88" s="56">
        <f t="shared" si="59"/>
        <v>0</v>
      </c>
      <c r="R88" s="86"/>
      <c r="S88" s="57">
        <f t="shared" si="60"/>
        <v>0</v>
      </c>
      <c r="T88" s="87"/>
      <c r="U88" s="58">
        <f t="shared" si="61"/>
        <v>0</v>
      </c>
      <c r="V88" s="87"/>
      <c r="W88" s="57">
        <f t="shared" si="62"/>
        <v>0</v>
      </c>
      <c r="X88" s="87"/>
      <c r="Y88" s="59"/>
      <c r="Z88" s="15">
        <f t="shared" si="63"/>
        <v>0</v>
      </c>
      <c r="AA88" s="15" t="str">
        <f t="shared" si="64"/>
        <v/>
      </c>
      <c r="AB88" s="69" t="str">
        <f>IFERROR(REPORTE[[#This Row],[Kg Exportados]]/REPORTE[[#This Row],[Ha]],"")</f>
        <v/>
      </c>
      <c r="AC88" s="65" t="str">
        <f>IFERROR(VLOOKUP(REPORTE[[#This Row],[Lote]],PROYECCION[],16,FALSE),"")</f>
        <v/>
      </c>
      <c r="AD88" s="66" t="s">
        <v>32</v>
      </c>
      <c r="AE88" s="2"/>
      <c r="AG88" s="2"/>
      <c r="AK88" s="2"/>
      <c r="AL88" s="2"/>
      <c r="AN88" s="2"/>
    </row>
    <row r="89" spans="1:40" ht="14.25" customHeight="1" x14ac:dyDescent="0.25">
      <c r="A89" s="42">
        <f t="shared" si="57"/>
        <v>14</v>
      </c>
      <c r="B89" s="42" t="str">
        <f>TEXT(REPORTE[[#This Row],[Fecha]],"MMMM")</f>
        <v>Abril</v>
      </c>
      <c r="C89" s="42" t="str">
        <f>IFERROR(VLOOKUP(REPORTE[[#This Row],[Lote]],PROYECCION[],3,FALSE),"")</f>
        <v/>
      </c>
      <c r="D89" s="47" t="str">
        <f>IFERROR(VLOOKUP(REPORTE[[#This Row],[Lote]],PROYECCION[],2,FALSE),"")</f>
        <v/>
      </c>
      <c r="E89" s="65"/>
      <c r="F89" s="53" t="str">
        <f>IFERROR(VLOOKUP(REPORTE[[#This Row],[Lote]],PROYECCION[],5,FALSE),"")</f>
        <v/>
      </c>
      <c r="G89" s="42" t="str">
        <f>IFERROR(VLOOKUP(REPORTE[[#This Row],[Lote]],PROYECCION[],4,FALSE),"")</f>
        <v/>
      </c>
      <c r="H89" s="42" t="str">
        <f>IFERROR(VLOOKUP(REPORTE[[#This Row],[Lote]],PROYECCION[],6,FALSE),"")</f>
        <v/>
      </c>
      <c r="I89" s="96">
        <v>14</v>
      </c>
      <c r="J89" s="15">
        <f>SUM($S$82:$S$86)*REPORTE[[#This Row],[% Calibre]]</f>
        <v>7159.9999999999845</v>
      </c>
      <c r="K89" s="44">
        <v>0.293683347005742</v>
      </c>
      <c r="L89" s="42"/>
      <c r="M89" s="47"/>
      <c r="N89" s="84">
        <v>45385</v>
      </c>
      <c r="O89" s="85"/>
      <c r="P89" s="48" t="str">
        <f t="shared" si="58"/>
        <v/>
      </c>
      <c r="Q89" s="56">
        <f t="shared" si="59"/>
        <v>0</v>
      </c>
      <c r="R89" s="86"/>
      <c r="S89" s="57">
        <f t="shared" si="60"/>
        <v>0</v>
      </c>
      <c r="T89" s="87"/>
      <c r="U89" s="58">
        <f t="shared" si="61"/>
        <v>0</v>
      </c>
      <c r="V89" s="87"/>
      <c r="W89" s="57">
        <f t="shared" si="62"/>
        <v>0</v>
      </c>
      <c r="X89" s="87"/>
      <c r="Y89" s="59"/>
      <c r="Z89" s="15">
        <f t="shared" si="63"/>
        <v>0</v>
      </c>
      <c r="AA89" s="15" t="str">
        <f t="shared" si="64"/>
        <v/>
      </c>
      <c r="AB89" s="69" t="str">
        <f>IFERROR(REPORTE[[#This Row],[Kg Exportados]]/REPORTE[[#This Row],[Ha]],"")</f>
        <v/>
      </c>
      <c r="AC89" s="65" t="str">
        <f>IFERROR(VLOOKUP(REPORTE[[#This Row],[Lote]],PROYECCION[],16,FALSE),"")</f>
        <v/>
      </c>
      <c r="AD89" s="66" t="s">
        <v>32</v>
      </c>
      <c r="AE89" s="2"/>
      <c r="AG89" s="2"/>
      <c r="AK89" s="2"/>
      <c r="AL89" s="2"/>
      <c r="AN89" s="2"/>
    </row>
    <row r="90" spans="1:40" ht="14.25" customHeight="1" x14ac:dyDescent="0.25">
      <c r="A90" s="42">
        <f t="shared" si="57"/>
        <v>14</v>
      </c>
      <c r="B90" s="42" t="str">
        <f>TEXT(REPORTE[[#This Row],[Fecha]],"MMMM")</f>
        <v>Abril</v>
      </c>
      <c r="C90" s="42" t="str">
        <f>IFERROR(VLOOKUP(REPORTE[[#This Row],[Lote]],PROYECCION[],3,FALSE),"")</f>
        <v/>
      </c>
      <c r="D90" s="47" t="str">
        <f>IFERROR(VLOOKUP(REPORTE[[#This Row],[Lote]],PROYECCION[],2,FALSE),"")</f>
        <v/>
      </c>
      <c r="E90" s="65"/>
      <c r="F90" s="53" t="str">
        <f>IFERROR(VLOOKUP(REPORTE[[#This Row],[Lote]],PROYECCION[],5,FALSE),"")</f>
        <v/>
      </c>
      <c r="G90" s="42" t="str">
        <f>IFERROR(VLOOKUP(REPORTE[[#This Row],[Lote]],PROYECCION[],4,FALSE),"")</f>
        <v/>
      </c>
      <c r="H90" s="42" t="str">
        <f>IFERROR(VLOOKUP(REPORTE[[#This Row],[Lote]],PROYECCION[],6,FALSE),"")</f>
        <v/>
      </c>
      <c r="I90" s="96">
        <v>16</v>
      </c>
      <c r="J90" s="15">
        <f>SUM($S$82:$S$86)*REPORTE[[#This Row],[% Calibre]]</f>
        <v>8889.9999999999764</v>
      </c>
      <c r="K90" s="44">
        <v>0.36464315012305099</v>
      </c>
      <c r="L90" s="42"/>
      <c r="M90" s="47"/>
      <c r="N90" s="84">
        <v>45385</v>
      </c>
      <c r="O90" s="85"/>
      <c r="P90" s="48" t="str">
        <f t="shared" si="58"/>
        <v/>
      </c>
      <c r="Q90" s="56">
        <f t="shared" si="59"/>
        <v>0</v>
      </c>
      <c r="R90" s="86"/>
      <c r="S90" s="57">
        <f t="shared" si="60"/>
        <v>0</v>
      </c>
      <c r="T90" s="87"/>
      <c r="U90" s="58">
        <f t="shared" si="61"/>
        <v>0</v>
      </c>
      <c r="V90" s="87"/>
      <c r="W90" s="57">
        <f t="shared" si="62"/>
        <v>0</v>
      </c>
      <c r="X90" s="87"/>
      <c r="Y90" s="59"/>
      <c r="Z90" s="15">
        <f t="shared" si="63"/>
        <v>0</v>
      </c>
      <c r="AA90" s="15" t="str">
        <f t="shared" si="64"/>
        <v/>
      </c>
      <c r="AB90" s="69" t="str">
        <f>IFERROR(REPORTE[[#This Row],[Kg Exportados]]/REPORTE[[#This Row],[Ha]],"")</f>
        <v/>
      </c>
      <c r="AC90" s="65" t="str">
        <f>IFERROR(VLOOKUP(REPORTE[[#This Row],[Lote]],PROYECCION[],16,FALSE),"")</f>
        <v/>
      </c>
      <c r="AD90" s="66" t="s">
        <v>32</v>
      </c>
      <c r="AE90" s="2"/>
      <c r="AG90" s="2"/>
      <c r="AK90" s="2"/>
      <c r="AL90" s="2"/>
      <c r="AN90" s="2"/>
    </row>
    <row r="91" spans="1:40" ht="14.25" customHeight="1" x14ac:dyDescent="0.25">
      <c r="A91" s="42">
        <f t="shared" si="57"/>
        <v>14</v>
      </c>
      <c r="B91" s="42" t="str">
        <f>TEXT(REPORTE[[#This Row],[Fecha]],"MMMM")</f>
        <v>Abril</v>
      </c>
      <c r="C91" s="42" t="str">
        <f>IFERROR(VLOOKUP(REPORTE[[#This Row],[Lote]],PROYECCION[],3,FALSE),"")</f>
        <v/>
      </c>
      <c r="D91" s="47" t="str">
        <f>IFERROR(VLOOKUP(REPORTE[[#This Row],[Lote]],PROYECCION[],2,FALSE),"")</f>
        <v/>
      </c>
      <c r="E91" s="65"/>
      <c r="F91" s="53" t="str">
        <f>IFERROR(VLOOKUP(REPORTE[[#This Row],[Lote]],PROYECCION[],5,FALSE),"")</f>
        <v/>
      </c>
      <c r="G91" s="42" t="str">
        <f>IFERROR(VLOOKUP(REPORTE[[#This Row],[Lote]],PROYECCION[],4,FALSE),"")</f>
        <v/>
      </c>
      <c r="H91" s="42" t="str">
        <f>IFERROR(VLOOKUP(REPORTE[[#This Row],[Lote]],PROYECCION[],6,FALSE),"")</f>
        <v/>
      </c>
      <c r="I91" s="96">
        <v>18</v>
      </c>
      <c r="J91" s="15">
        <f>SUM($S$82:$S$86)*REPORTE[[#This Row],[% Calibre]]</f>
        <v>4509.9999999999873</v>
      </c>
      <c r="K91" s="44">
        <v>0.184987694831829</v>
      </c>
      <c r="L91" s="42"/>
      <c r="M91" s="47"/>
      <c r="N91" s="84">
        <v>45385</v>
      </c>
      <c r="O91" s="85"/>
      <c r="P91" s="48" t="str">
        <f t="shared" si="58"/>
        <v/>
      </c>
      <c r="Q91" s="56">
        <f t="shared" si="59"/>
        <v>0</v>
      </c>
      <c r="R91" s="86"/>
      <c r="S91" s="57">
        <f t="shared" si="60"/>
        <v>0</v>
      </c>
      <c r="T91" s="87"/>
      <c r="U91" s="58">
        <f t="shared" si="61"/>
        <v>0</v>
      </c>
      <c r="V91" s="87"/>
      <c r="W91" s="57">
        <f t="shared" si="62"/>
        <v>0</v>
      </c>
      <c r="X91" s="87"/>
      <c r="Y91" s="59"/>
      <c r="Z91" s="15">
        <f t="shared" si="63"/>
        <v>0</v>
      </c>
      <c r="AA91" s="15" t="str">
        <f t="shared" si="64"/>
        <v/>
      </c>
      <c r="AB91" s="69" t="str">
        <f>IFERROR(REPORTE[[#This Row],[Kg Exportados]]/REPORTE[[#This Row],[Ha]],"")</f>
        <v/>
      </c>
      <c r="AC91" s="65" t="str">
        <f>IFERROR(VLOOKUP(REPORTE[[#This Row],[Lote]],PROYECCION[],16,FALSE),"")</f>
        <v/>
      </c>
      <c r="AD91" s="66" t="s">
        <v>32</v>
      </c>
      <c r="AE91" s="2"/>
      <c r="AG91" s="2"/>
      <c r="AK91" s="2"/>
      <c r="AL91" s="2"/>
      <c r="AN91" s="2"/>
    </row>
    <row r="92" spans="1:40" ht="14.25" customHeight="1" x14ac:dyDescent="0.25">
      <c r="A92" s="42">
        <f t="shared" si="57"/>
        <v>14</v>
      </c>
      <c r="B92" s="42" t="str">
        <f>TEXT(REPORTE[[#This Row],[Fecha]],"MMMM")</f>
        <v>Abril</v>
      </c>
      <c r="C92" s="42" t="str">
        <f>IFERROR(VLOOKUP(REPORTE[[#This Row],[Lote]],PROYECCION[],3,FALSE),"")</f>
        <v/>
      </c>
      <c r="D92" s="47" t="str">
        <f>IFERROR(VLOOKUP(REPORTE[[#This Row],[Lote]],PROYECCION[],2,FALSE),"")</f>
        <v/>
      </c>
      <c r="E92" s="65"/>
      <c r="F92" s="53" t="str">
        <f>IFERROR(VLOOKUP(REPORTE[[#This Row],[Lote]],PROYECCION[],5,FALSE),"")</f>
        <v/>
      </c>
      <c r="G92" s="42" t="str">
        <f>IFERROR(VLOOKUP(REPORTE[[#This Row],[Lote]],PROYECCION[],4,FALSE),"")</f>
        <v/>
      </c>
      <c r="H92" s="42" t="str">
        <f>IFERROR(VLOOKUP(REPORTE[[#This Row],[Lote]],PROYECCION[],6,FALSE),"")</f>
        <v/>
      </c>
      <c r="I92" s="96">
        <v>20</v>
      </c>
      <c r="J92" s="15">
        <f>SUM($S$82:$S$86)*REPORTE[[#This Row],[% Calibre]]</f>
        <v>679.99999999999852</v>
      </c>
      <c r="K92" s="44">
        <v>2.78917145200984E-2</v>
      </c>
      <c r="L92" s="42"/>
      <c r="M92" s="47"/>
      <c r="N92" s="84">
        <v>45385</v>
      </c>
      <c r="O92" s="85"/>
      <c r="P92" s="48" t="str">
        <f t="shared" si="58"/>
        <v/>
      </c>
      <c r="Q92" s="56">
        <f t="shared" si="59"/>
        <v>0</v>
      </c>
      <c r="R92" s="86"/>
      <c r="S92" s="57">
        <f t="shared" si="60"/>
        <v>0</v>
      </c>
      <c r="T92" s="87"/>
      <c r="U92" s="58">
        <f t="shared" si="61"/>
        <v>0</v>
      </c>
      <c r="V92" s="87"/>
      <c r="W92" s="57">
        <f t="shared" si="62"/>
        <v>0</v>
      </c>
      <c r="X92" s="87"/>
      <c r="Y92" s="59"/>
      <c r="Z92" s="15">
        <f t="shared" si="63"/>
        <v>0</v>
      </c>
      <c r="AA92" s="15" t="str">
        <f t="shared" si="64"/>
        <v/>
      </c>
      <c r="AB92" s="69" t="str">
        <f>IFERROR(REPORTE[[#This Row],[Kg Exportados]]/REPORTE[[#This Row],[Ha]],"")</f>
        <v/>
      </c>
      <c r="AC92" s="65" t="str">
        <f>IFERROR(VLOOKUP(REPORTE[[#This Row],[Lote]],PROYECCION[],16,FALSE),"")</f>
        <v/>
      </c>
      <c r="AD92" s="66" t="s">
        <v>32</v>
      </c>
      <c r="AE92" s="2"/>
      <c r="AG92" s="2"/>
      <c r="AK92" s="2"/>
      <c r="AL92" s="2"/>
      <c r="AN92" s="2"/>
    </row>
    <row r="93" spans="1:40" ht="14.25" customHeight="1" x14ac:dyDescent="0.25">
      <c r="A93" s="42">
        <f t="shared" si="57"/>
        <v>14</v>
      </c>
      <c r="B93" s="42" t="str">
        <f>TEXT(REPORTE[[#This Row],[Fecha]],"MMMM")</f>
        <v>Abril</v>
      </c>
      <c r="C93" s="42" t="str">
        <f>IFERROR(VLOOKUP(REPORTE[[#This Row],[Lote]],PROYECCION[],3,FALSE),"")</f>
        <v/>
      </c>
      <c r="D93" s="47" t="str">
        <f>IFERROR(VLOOKUP(REPORTE[[#This Row],[Lote]],PROYECCION[],2,FALSE),"")</f>
        <v/>
      </c>
      <c r="E93" s="65"/>
      <c r="F93" s="53" t="str">
        <f>IFERROR(VLOOKUP(REPORTE[[#This Row],[Lote]],PROYECCION[],5,FALSE),"")</f>
        <v/>
      </c>
      <c r="G93" s="42" t="str">
        <f>IFERROR(VLOOKUP(REPORTE[[#This Row],[Lote]],PROYECCION[],4,FALSE),"")</f>
        <v/>
      </c>
      <c r="H93" s="42" t="str">
        <f>IFERROR(VLOOKUP(REPORTE[[#This Row],[Lote]],PROYECCION[],6,FALSE),"")</f>
        <v/>
      </c>
      <c r="I93" s="96">
        <v>22</v>
      </c>
      <c r="J93" s="15">
        <f>SUM($S$82:$S$86)*REPORTE[[#This Row],[% Calibre]]</f>
        <v>19.999999999999968</v>
      </c>
      <c r="K93" s="94">
        <v>8.2034454470877698E-4</v>
      </c>
      <c r="L93" s="42"/>
      <c r="M93" s="47"/>
      <c r="N93" s="84">
        <v>45385</v>
      </c>
      <c r="O93" s="85"/>
      <c r="P93" s="48" t="str">
        <f t="shared" si="58"/>
        <v/>
      </c>
      <c r="Q93" s="56">
        <f t="shared" si="59"/>
        <v>0</v>
      </c>
      <c r="R93" s="86"/>
      <c r="S93" s="57">
        <f t="shared" si="60"/>
        <v>0</v>
      </c>
      <c r="T93" s="87"/>
      <c r="U93" s="58">
        <f t="shared" si="61"/>
        <v>0</v>
      </c>
      <c r="V93" s="87"/>
      <c r="W93" s="57">
        <f t="shared" si="62"/>
        <v>0</v>
      </c>
      <c r="X93" s="87"/>
      <c r="Y93" s="59"/>
      <c r="Z93" s="15">
        <f t="shared" si="63"/>
        <v>0</v>
      </c>
      <c r="AA93" s="15" t="str">
        <f t="shared" si="64"/>
        <v/>
      </c>
      <c r="AB93" s="69" t="str">
        <f>IFERROR(REPORTE[[#This Row],[Kg Exportados]]/REPORTE[[#This Row],[Ha]],"")</f>
        <v/>
      </c>
      <c r="AC93" s="65" t="str">
        <f>IFERROR(VLOOKUP(REPORTE[[#This Row],[Lote]],PROYECCION[],16,FALSE),"")</f>
        <v/>
      </c>
      <c r="AD93" s="66" t="s">
        <v>32</v>
      </c>
      <c r="AE93" s="2"/>
      <c r="AG93" s="2"/>
      <c r="AK93" s="2"/>
      <c r="AL93" s="2"/>
      <c r="AN93" s="2"/>
    </row>
    <row r="94" spans="1:40" ht="14.25" customHeight="1" x14ac:dyDescent="0.25">
      <c r="A94" s="42">
        <f t="shared" si="57"/>
        <v>14</v>
      </c>
      <c r="B94" s="42" t="str">
        <f>TEXT(REPORTE[[#This Row],[Fecha]],"MMMM")</f>
        <v>Abril</v>
      </c>
      <c r="C94" s="42" t="str">
        <f>IFERROR(VLOOKUP(REPORTE[[#This Row],[Lote]],PROYECCION[],3,FALSE),"")</f>
        <v>El Marsano</v>
      </c>
      <c r="D94" s="47" t="str">
        <f>IFERROR(VLOOKUP(REPORTE[[#This Row],[Lote]],PROYECCION[],2,FALSE),"")</f>
        <v>Agricola Guili S.A.C</v>
      </c>
      <c r="E94" s="65" t="s">
        <v>17</v>
      </c>
      <c r="F94" s="53">
        <f>IFERROR(VLOOKUP(REPORTE[[#This Row],[Lote]],PROYECCION[],5,FALSE),"")</f>
        <v>26.08</v>
      </c>
      <c r="G94" s="42" t="str">
        <f>IFERROR(VLOOKUP(REPORTE[[#This Row],[Lote]],PROYECCION[],4,FALSE),"")</f>
        <v>Hass</v>
      </c>
      <c r="H94" s="42" t="str">
        <f>IFERROR(VLOOKUP(REPORTE[[#This Row],[Lote]],PROYECCION[],6,FALSE),"")</f>
        <v>Negra</v>
      </c>
      <c r="I94" s="96"/>
      <c r="J94" s="15"/>
      <c r="K94" s="44"/>
      <c r="L94" s="42" t="s">
        <v>150</v>
      </c>
      <c r="M94" s="47" t="s">
        <v>152</v>
      </c>
      <c r="N94" s="84">
        <v>45385</v>
      </c>
      <c r="O94" s="85">
        <v>1</v>
      </c>
      <c r="P94" s="48">
        <f t="shared" si="58"/>
        <v>410</v>
      </c>
      <c r="Q94" s="56">
        <f t="shared" si="59"/>
        <v>41</v>
      </c>
      <c r="R94" s="86">
        <v>410</v>
      </c>
      <c r="S94" s="57">
        <f t="shared" si="60"/>
        <v>410</v>
      </c>
      <c r="T94" s="87">
        <v>1</v>
      </c>
      <c r="U94" s="58">
        <f t="shared" si="61"/>
        <v>0</v>
      </c>
      <c r="V94" s="87">
        <v>0</v>
      </c>
      <c r="W94" s="57">
        <f t="shared" si="62"/>
        <v>0</v>
      </c>
      <c r="X94" s="87">
        <v>0</v>
      </c>
      <c r="Y94" s="59"/>
      <c r="Z94" s="15">
        <f t="shared" si="63"/>
        <v>410</v>
      </c>
      <c r="AA94" s="15">
        <f t="shared" si="64"/>
        <v>15.720858895705522</v>
      </c>
      <c r="AB94" s="69">
        <f>IFERROR(REPORTE[[#This Row],[Kg Exportados]]/REPORTE[[#This Row],[Ha]],"")</f>
        <v>15.720858895705522</v>
      </c>
      <c r="AC94" s="65" t="str">
        <f>IFERROR(VLOOKUP(REPORTE[[#This Row],[Lote]],PROYECCION[],16,FALSE),"")</f>
        <v>Cosechando</v>
      </c>
      <c r="AD94" s="66" t="s">
        <v>72</v>
      </c>
      <c r="AE94" s="2"/>
      <c r="AG94" s="2"/>
      <c r="AK94" s="2"/>
      <c r="AL94" s="2"/>
      <c r="AN94" s="2"/>
    </row>
    <row r="95" spans="1:40" ht="14.25" customHeight="1" x14ac:dyDescent="0.25">
      <c r="A95" s="42">
        <f t="shared" si="57"/>
        <v>14</v>
      </c>
      <c r="B95" s="42" t="str">
        <f>TEXT(REPORTE[[#This Row],[Fecha]],"MMMM")</f>
        <v>Abril</v>
      </c>
      <c r="C95" s="42" t="str">
        <f>IFERROR(VLOOKUP(REPORTE[[#This Row],[Lote]],PROYECCION[],3,FALSE),"")</f>
        <v>El Marsano</v>
      </c>
      <c r="D95" s="47" t="str">
        <f>IFERROR(VLOOKUP(REPORTE[[#This Row],[Lote]],PROYECCION[],2,FALSE),"")</f>
        <v>Agricola Guili S.A.C</v>
      </c>
      <c r="E95" s="65" t="s">
        <v>13</v>
      </c>
      <c r="F95" s="53">
        <f>IFERROR(VLOOKUP(REPORTE[[#This Row],[Lote]],PROYECCION[],5,FALSE),"")</f>
        <v>13.41</v>
      </c>
      <c r="G95" s="42" t="str">
        <f>IFERROR(VLOOKUP(REPORTE[[#This Row],[Lote]],PROYECCION[],4,FALSE),"")</f>
        <v>Hass</v>
      </c>
      <c r="H95" s="42" t="str">
        <f>IFERROR(VLOOKUP(REPORTE[[#This Row],[Lote]],PROYECCION[],6,FALSE),"")</f>
        <v>Negra</v>
      </c>
      <c r="I95" s="96"/>
      <c r="J95" s="15"/>
      <c r="K95" s="44"/>
      <c r="L95" s="42" t="s">
        <v>150</v>
      </c>
      <c r="M95" s="47" t="s">
        <v>152</v>
      </c>
      <c r="N95" s="84">
        <v>45385</v>
      </c>
      <c r="O95" s="85">
        <v>1</v>
      </c>
      <c r="P95" s="48">
        <f t="shared" si="58"/>
        <v>310</v>
      </c>
      <c r="Q95" s="56">
        <f t="shared" si="59"/>
        <v>31</v>
      </c>
      <c r="R95" s="86">
        <v>310</v>
      </c>
      <c r="S95" s="57">
        <f t="shared" si="60"/>
        <v>310</v>
      </c>
      <c r="T95" s="87">
        <v>1</v>
      </c>
      <c r="U95" s="58">
        <f t="shared" si="61"/>
        <v>0</v>
      </c>
      <c r="V95" s="87">
        <v>0</v>
      </c>
      <c r="W95" s="57">
        <f t="shared" si="62"/>
        <v>0</v>
      </c>
      <c r="X95" s="87">
        <v>0</v>
      </c>
      <c r="Y95" s="59"/>
      <c r="Z95" s="15">
        <f t="shared" si="63"/>
        <v>310</v>
      </c>
      <c r="AA95" s="15">
        <f t="shared" si="64"/>
        <v>23.117076808351975</v>
      </c>
      <c r="AB95" s="69">
        <f>IFERROR(REPORTE[[#This Row],[Kg Exportados]]/REPORTE[[#This Row],[Ha]],"")</f>
        <v>23.117076808351975</v>
      </c>
      <c r="AC95" s="65" t="str">
        <f>IFERROR(VLOOKUP(REPORTE[[#This Row],[Lote]],PROYECCION[],16,FALSE),"")</f>
        <v>Cosechando</v>
      </c>
      <c r="AD95" s="66" t="s">
        <v>72</v>
      </c>
      <c r="AE95" s="2"/>
      <c r="AG95" s="2"/>
      <c r="AK95" s="2"/>
      <c r="AL95" s="2"/>
      <c r="AN95" s="2"/>
    </row>
    <row r="96" spans="1:40" ht="14.25" customHeight="1" x14ac:dyDescent="0.25">
      <c r="A96" s="42">
        <f t="shared" si="57"/>
        <v>14</v>
      </c>
      <c r="B96" s="42" t="str">
        <f>TEXT(REPORTE[[#This Row],[Fecha]],"MMMM")</f>
        <v>Abril</v>
      </c>
      <c r="C96" s="42" t="str">
        <f>IFERROR(VLOOKUP(REPORTE[[#This Row],[Lote]],PROYECCION[],3,FALSE),"")</f>
        <v/>
      </c>
      <c r="D96" s="47" t="str">
        <f>IFERROR(VLOOKUP(REPORTE[[#This Row],[Lote]],PROYECCION[],2,FALSE),"")</f>
        <v/>
      </c>
      <c r="E96" s="65"/>
      <c r="F96" s="53" t="str">
        <f>IFERROR(VLOOKUP(REPORTE[[#This Row],[Lote]],PROYECCION[],5,FALSE),"")</f>
        <v/>
      </c>
      <c r="G96" s="42" t="str">
        <f>IFERROR(VLOOKUP(REPORTE[[#This Row],[Lote]],PROYECCION[],4,FALSE),"")</f>
        <v/>
      </c>
      <c r="H96" s="42" t="str">
        <f>IFERROR(VLOOKUP(REPORTE[[#This Row],[Lote]],PROYECCION[],6,FALSE),"")</f>
        <v/>
      </c>
      <c r="I96" s="96" t="s">
        <v>153</v>
      </c>
      <c r="J96" s="15">
        <f>SUM($S$94:$S$95)*REPORTE[[#This Row],[% Calibre]]</f>
        <v>689.99999999999977</v>
      </c>
      <c r="K96" s="44">
        <v>0.95833333333333304</v>
      </c>
      <c r="L96" s="42"/>
      <c r="M96" s="47"/>
      <c r="N96" s="84">
        <v>45385</v>
      </c>
      <c r="O96" s="85"/>
      <c r="P96" s="48" t="str">
        <f t="shared" si="58"/>
        <v/>
      </c>
      <c r="Q96" s="56">
        <f t="shared" si="59"/>
        <v>0</v>
      </c>
      <c r="R96" s="86"/>
      <c r="S96" s="57">
        <f t="shared" si="60"/>
        <v>0</v>
      </c>
      <c r="T96" s="87"/>
      <c r="U96" s="58">
        <f t="shared" si="61"/>
        <v>0</v>
      </c>
      <c r="V96" s="87"/>
      <c r="W96" s="57">
        <f t="shared" si="62"/>
        <v>0</v>
      </c>
      <c r="X96" s="87"/>
      <c r="Y96" s="59"/>
      <c r="Z96" s="15">
        <f t="shared" si="63"/>
        <v>0</v>
      </c>
      <c r="AA96" s="15" t="str">
        <f t="shared" si="64"/>
        <v/>
      </c>
      <c r="AB96" s="69" t="str">
        <f>IFERROR(REPORTE[[#This Row],[Kg Exportados]]/REPORTE[[#This Row],[Ha]],"")</f>
        <v/>
      </c>
      <c r="AC96" s="65" t="str">
        <f>IFERROR(VLOOKUP(REPORTE[[#This Row],[Lote]],PROYECCION[],16,FALSE),"")</f>
        <v/>
      </c>
      <c r="AD96" s="66" t="s">
        <v>72</v>
      </c>
      <c r="AE96" s="2"/>
      <c r="AG96" s="2"/>
      <c r="AK96" s="2"/>
      <c r="AL96" s="2"/>
      <c r="AN96" s="2"/>
    </row>
    <row r="97" spans="1:40" ht="14.25" customHeight="1" x14ac:dyDescent="0.25">
      <c r="A97" s="42">
        <f t="shared" si="57"/>
        <v>14</v>
      </c>
      <c r="B97" s="42" t="str">
        <f>TEXT(REPORTE[[#This Row],[Fecha]],"MMMM")</f>
        <v>Abril</v>
      </c>
      <c r="C97" s="42" t="str">
        <f>IFERROR(VLOOKUP(REPORTE[[#This Row],[Lote]],PROYECCION[],3,FALSE),"")</f>
        <v/>
      </c>
      <c r="D97" s="47" t="str">
        <f>IFERROR(VLOOKUP(REPORTE[[#This Row],[Lote]],PROYECCION[],2,FALSE),"")</f>
        <v/>
      </c>
      <c r="E97" s="65"/>
      <c r="F97" s="53" t="str">
        <f>IFERROR(VLOOKUP(REPORTE[[#This Row],[Lote]],PROYECCION[],5,FALSE),"")</f>
        <v/>
      </c>
      <c r="G97" s="42" t="str">
        <f>IFERROR(VLOOKUP(REPORTE[[#This Row],[Lote]],PROYECCION[],4,FALSE),"")</f>
        <v/>
      </c>
      <c r="H97" s="42" t="str">
        <f>IFERROR(VLOOKUP(REPORTE[[#This Row],[Lote]],PROYECCION[],6,FALSE),"")</f>
        <v/>
      </c>
      <c r="I97" s="96">
        <v>14</v>
      </c>
      <c r="J97" s="15">
        <f>SUM($S$94:$S$95)*REPORTE[[#This Row],[% Calibre]]</f>
        <v>10.000000000000009</v>
      </c>
      <c r="K97" s="44">
        <v>1.38888888888889E-2</v>
      </c>
      <c r="L97" s="42"/>
      <c r="M97" s="47"/>
      <c r="N97" s="84">
        <v>45385</v>
      </c>
      <c r="O97" s="85"/>
      <c r="P97" s="48" t="str">
        <f t="shared" si="58"/>
        <v/>
      </c>
      <c r="Q97" s="56">
        <f t="shared" si="59"/>
        <v>0</v>
      </c>
      <c r="R97" s="86"/>
      <c r="S97" s="57">
        <f t="shared" si="60"/>
        <v>0</v>
      </c>
      <c r="T97" s="87"/>
      <c r="U97" s="58">
        <f t="shared" si="61"/>
        <v>0</v>
      </c>
      <c r="V97" s="87"/>
      <c r="W97" s="57">
        <f t="shared" si="62"/>
        <v>0</v>
      </c>
      <c r="X97" s="87"/>
      <c r="Y97" s="59"/>
      <c r="Z97" s="15">
        <f t="shared" si="63"/>
        <v>0</v>
      </c>
      <c r="AA97" s="15" t="str">
        <f t="shared" si="64"/>
        <v/>
      </c>
      <c r="AB97" s="69" t="str">
        <f>IFERROR(REPORTE[[#This Row],[Kg Exportados]]/REPORTE[[#This Row],[Ha]],"")</f>
        <v/>
      </c>
      <c r="AC97" s="65" t="str">
        <f>IFERROR(VLOOKUP(REPORTE[[#This Row],[Lote]],PROYECCION[],16,FALSE),"")</f>
        <v/>
      </c>
      <c r="AD97" s="66" t="s">
        <v>72</v>
      </c>
      <c r="AE97" s="2"/>
      <c r="AG97" s="2"/>
      <c r="AK97" s="2"/>
      <c r="AL97" s="2"/>
      <c r="AN97" s="2"/>
    </row>
    <row r="98" spans="1:40" ht="14.25" customHeight="1" x14ac:dyDescent="0.25">
      <c r="A98" s="42">
        <f t="shared" si="57"/>
        <v>14</v>
      </c>
      <c r="B98" s="42" t="str">
        <f>TEXT(REPORTE[[#This Row],[Fecha]],"MMMM")</f>
        <v>Abril</v>
      </c>
      <c r="C98" s="42" t="str">
        <f>IFERROR(VLOOKUP(REPORTE[[#This Row],[Lote]],PROYECCION[],3,FALSE),"")</f>
        <v/>
      </c>
      <c r="D98" s="47" t="str">
        <f>IFERROR(VLOOKUP(REPORTE[[#This Row],[Lote]],PROYECCION[],2,FALSE),"")</f>
        <v/>
      </c>
      <c r="E98" s="65"/>
      <c r="F98" s="53" t="str">
        <f>IFERROR(VLOOKUP(REPORTE[[#This Row],[Lote]],PROYECCION[],5,FALSE),"")</f>
        <v/>
      </c>
      <c r="G98" s="42" t="str">
        <f>IFERROR(VLOOKUP(REPORTE[[#This Row],[Lote]],PROYECCION[],4,FALSE),"")</f>
        <v/>
      </c>
      <c r="H98" s="42" t="str">
        <f>IFERROR(VLOOKUP(REPORTE[[#This Row],[Lote]],PROYECCION[],6,FALSE),"")</f>
        <v/>
      </c>
      <c r="I98" s="96" t="s">
        <v>154</v>
      </c>
      <c r="J98" s="15">
        <f>SUM($S$94:$S$95)*REPORTE[[#This Row],[% Calibre]]</f>
        <v>10.000000000000009</v>
      </c>
      <c r="K98" s="44">
        <v>1.38888888888889E-2</v>
      </c>
      <c r="L98" s="42"/>
      <c r="M98" s="47"/>
      <c r="N98" s="84">
        <v>45385</v>
      </c>
      <c r="O98" s="85"/>
      <c r="P98" s="48" t="str">
        <f t="shared" si="58"/>
        <v/>
      </c>
      <c r="Q98" s="56">
        <f t="shared" si="59"/>
        <v>0</v>
      </c>
      <c r="R98" s="86"/>
      <c r="S98" s="57">
        <f t="shared" si="60"/>
        <v>0</v>
      </c>
      <c r="T98" s="87"/>
      <c r="U98" s="58">
        <f t="shared" si="61"/>
        <v>0</v>
      </c>
      <c r="V98" s="87"/>
      <c r="W98" s="57">
        <f t="shared" si="62"/>
        <v>0</v>
      </c>
      <c r="X98" s="87"/>
      <c r="Y98" s="59"/>
      <c r="Z98" s="15">
        <f t="shared" si="63"/>
        <v>0</v>
      </c>
      <c r="AA98" s="15" t="str">
        <f t="shared" si="64"/>
        <v/>
      </c>
      <c r="AB98" s="69" t="str">
        <f>IFERROR(REPORTE[[#This Row],[Kg Exportados]]/REPORTE[[#This Row],[Ha]],"")</f>
        <v/>
      </c>
      <c r="AC98" s="65" t="str">
        <f>IFERROR(VLOOKUP(REPORTE[[#This Row],[Lote]],PROYECCION[],16,FALSE),"")</f>
        <v/>
      </c>
      <c r="AD98" s="66" t="s">
        <v>72</v>
      </c>
      <c r="AE98" s="2"/>
      <c r="AG98" s="2"/>
      <c r="AK98" s="2"/>
      <c r="AL98" s="2"/>
      <c r="AN98" s="2"/>
    </row>
    <row r="99" spans="1:40" ht="14.25" customHeight="1" x14ac:dyDescent="0.25">
      <c r="A99" s="42">
        <f t="shared" si="57"/>
        <v>14</v>
      </c>
      <c r="B99" s="42" t="str">
        <f>TEXT(REPORTE[[#This Row],[Fecha]],"MMMM")</f>
        <v>Abril</v>
      </c>
      <c r="C99" s="42" t="str">
        <f>IFERROR(VLOOKUP(REPORTE[[#This Row],[Lote]],PROYECCION[],3,FALSE),"")</f>
        <v/>
      </c>
      <c r="D99" s="47" t="str">
        <f>IFERROR(VLOOKUP(REPORTE[[#This Row],[Lote]],PROYECCION[],2,FALSE),"")</f>
        <v/>
      </c>
      <c r="E99" s="65"/>
      <c r="F99" s="53" t="str">
        <f>IFERROR(VLOOKUP(REPORTE[[#This Row],[Lote]],PROYECCION[],5,FALSE),"")</f>
        <v/>
      </c>
      <c r="G99" s="42" t="str">
        <f>IFERROR(VLOOKUP(REPORTE[[#This Row],[Lote]],PROYECCION[],4,FALSE),"")</f>
        <v/>
      </c>
      <c r="H99" s="42" t="str">
        <f>IFERROR(VLOOKUP(REPORTE[[#This Row],[Lote]],PROYECCION[],6,FALSE),"")</f>
        <v/>
      </c>
      <c r="I99" s="96" t="s">
        <v>155</v>
      </c>
      <c r="J99" s="15">
        <f>SUM($S$94:$S$95)*REPORTE[[#This Row],[% Calibre]]</f>
        <v>10.000000000000009</v>
      </c>
      <c r="K99" s="44">
        <v>1.38888888888889E-2</v>
      </c>
      <c r="L99" s="42"/>
      <c r="M99" s="47"/>
      <c r="N99" s="84">
        <v>45385</v>
      </c>
      <c r="O99" s="85"/>
      <c r="P99" s="48" t="str">
        <f t="shared" si="58"/>
        <v/>
      </c>
      <c r="Q99" s="56">
        <f t="shared" si="59"/>
        <v>0</v>
      </c>
      <c r="R99" s="86"/>
      <c r="S99" s="57">
        <f t="shared" si="60"/>
        <v>0</v>
      </c>
      <c r="T99" s="87"/>
      <c r="U99" s="58">
        <f t="shared" si="61"/>
        <v>0</v>
      </c>
      <c r="V99" s="87"/>
      <c r="W99" s="57">
        <f t="shared" si="62"/>
        <v>0</v>
      </c>
      <c r="X99" s="87"/>
      <c r="Y99" s="59"/>
      <c r="Z99" s="15">
        <f t="shared" si="63"/>
        <v>0</v>
      </c>
      <c r="AA99" s="15" t="str">
        <f t="shared" si="64"/>
        <v/>
      </c>
      <c r="AB99" s="69" t="str">
        <f>IFERROR(REPORTE[[#This Row],[Kg Exportados]]/REPORTE[[#This Row],[Ha]],"")</f>
        <v/>
      </c>
      <c r="AC99" s="65" t="str">
        <f>IFERROR(VLOOKUP(REPORTE[[#This Row],[Lote]],PROYECCION[],16,FALSE),"")</f>
        <v/>
      </c>
      <c r="AD99" s="66" t="s">
        <v>72</v>
      </c>
      <c r="AE99" s="2"/>
      <c r="AG99" s="2"/>
      <c r="AK99" s="2"/>
      <c r="AL99" s="2"/>
      <c r="AN99" s="2"/>
    </row>
    <row r="100" spans="1:40" ht="14.25" customHeight="1" x14ac:dyDescent="0.25">
      <c r="A100" s="42">
        <f t="shared" si="57"/>
        <v>14</v>
      </c>
      <c r="B100" s="42" t="str">
        <f>TEXT(REPORTE[[#This Row],[Fecha]],"MMMM")</f>
        <v>Abril</v>
      </c>
      <c r="C100" s="42" t="str">
        <f>IFERROR(VLOOKUP(REPORTE[[#This Row],[Lote]],PROYECCION[],3,FALSE),"")</f>
        <v>Don Nico</v>
      </c>
      <c r="D100" s="47" t="str">
        <f>IFERROR(VLOOKUP(REPORTE[[#This Row],[Lote]],PROYECCION[],2,FALSE),"")</f>
        <v>Agricola Guili S.A.C</v>
      </c>
      <c r="E100" s="65" t="s">
        <v>47</v>
      </c>
      <c r="F100" s="53">
        <f>IFERROR(VLOOKUP(REPORTE[[#This Row],[Lote]],PROYECCION[],5,FALSE),"")</f>
        <v>9.7542016806722689</v>
      </c>
      <c r="G100" s="42" t="str">
        <f>IFERROR(VLOOKUP(REPORTE[[#This Row],[Lote]],PROYECCION[],4,FALSE),"")</f>
        <v>Hass</v>
      </c>
      <c r="H100" s="42" t="str">
        <f>IFERROR(VLOOKUP(REPORTE[[#This Row],[Lote]],PROYECCION[],6,FALSE),"")</f>
        <v>Negra</v>
      </c>
      <c r="I100" s="96"/>
      <c r="J100" s="15"/>
      <c r="K100" s="44"/>
      <c r="L100" s="42" t="s">
        <v>156</v>
      </c>
      <c r="M100" s="47" t="s">
        <v>157</v>
      </c>
      <c r="N100" s="84">
        <v>45386</v>
      </c>
      <c r="O100" s="85">
        <v>1</v>
      </c>
      <c r="P100" s="48">
        <f t="shared" si="58"/>
        <v>541.25</v>
      </c>
      <c r="Q100" s="56">
        <f t="shared" si="59"/>
        <v>54.125</v>
      </c>
      <c r="R100" s="86">
        <v>541.25</v>
      </c>
      <c r="S100" s="57">
        <f t="shared" si="60"/>
        <v>541.25</v>
      </c>
      <c r="T100" s="87">
        <v>1</v>
      </c>
      <c r="U100" s="58">
        <f t="shared" si="61"/>
        <v>0</v>
      </c>
      <c r="V100" s="87">
        <v>0</v>
      </c>
      <c r="W100" s="57">
        <f t="shared" si="62"/>
        <v>0</v>
      </c>
      <c r="X100" s="87">
        <v>0</v>
      </c>
      <c r="Y100" s="59"/>
      <c r="Z100" s="15">
        <f t="shared" si="63"/>
        <v>541.25</v>
      </c>
      <c r="AA100" s="15">
        <f t="shared" si="64"/>
        <v>55.488908033598968</v>
      </c>
      <c r="AB100" s="69">
        <f>IFERROR(REPORTE[[#This Row],[Kg Exportados]]/REPORTE[[#This Row],[Ha]],"")</f>
        <v>55.488908033598968</v>
      </c>
      <c r="AC100" s="65" t="str">
        <f>IFERROR(VLOOKUP(REPORTE[[#This Row],[Lote]],PROYECCION[],16,FALSE),"")</f>
        <v>Cosechando</v>
      </c>
      <c r="AD100" s="66" t="s">
        <v>72</v>
      </c>
      <c r="AE100" s="2"/>
      <c r="AG100" s="2"/>
      <c r="AK100" s="2"/>
      <c r="AL100" s="2"/>
      <c r="AN100" s="2"/>
    </row>
    <row r="101" spans="1:40" ht="14.25" customHeight="1" x14ac:dyDescent="0.25">
      <c r="A101" s="42">
        <f t="shared" si="57"/>
        <v>14</v>
      </c>
      <c r="B101" s="42" t="str">
        <f>TEXT(REPORTE[[#This Row],[Fecha]],"MMMM")</f>
        <v>Abril</v>
      </c>
      <c r="C101" s="42" t="str">
        <f>IFERROR(VLOOKUP(REPORTE[[#This Row],[Lote]],PROYECCION[],3,FALSE),"")</f>
        <v>Don Nico</v>
      </c>
      <c r="D101" s="47" t="str">
        <f>IFERROR(VLOOKUP(REPORTE[[#This Row],[Lote]],PROYECCION[],2,FALSE),"")</f>
        <v>Agricola Guili S.A.C</v>
      </c>
      <c r="E101" s="65" t="s">
        <v>45</v>
      </c>
      <c r="F101" s="53">
        <f>IFERROR(VLOOKUP(REPORTE[[#This Row],[Lote]],PROYECCION[],5,FALSE),"")</f>
        <v>11.756302521008404</v>
      </c>
      <c r="G101" s="42" t="str">
        <f>IFERROR(VLOOKUP(REPORTE[[#This Row],[Lote]],PROYECCION[],4,FALSE),"")</f>
        <v>Hass</v>
      </c>
      <c r="H101" s="42" t="str">
        <f>IFERROR(VLOOKUP(REPORTE[[#This Row],[Lote]],PROYECCION[],6,FALSE),"")</f>
        <v>Negra</v>
      </c>
      <c r="I101" s="96"/>
      <c r="J101" s="15"/>
      <c r="K101" s="44"/>
      <c r="L101" s="42" t="s">
        <v>156</v>
      </c>
      <c r="M101" s="47" t="s">
        <v>157</v>
      </c>
      <c r="N101" s="84">
        <v>45386</v>
      </c>
      <c r="O101" s="85">
        <v>1</v>
      </c>
      <c r="P101" s="48">
        <f t="shared" si="58"/>
        <v>541.25</v>
      </c>
      <c r="Q101" s="56">
        <f t="shared" si="59"/>
        <v>54.125</v>
      </c>
      <c r="R101" s="86">
        <v>541.25</v>
      </c>
      <c r="S101" s="57">
        <f t="shared" si="60"/>
        <v>541.25</v>
      </c>
      <c r="T101" s="87">
        <v>1</v>
      </c>
      <c r="U101" s="58">
        <f t="shared" si="61"/>
        <v>0</v>
      </c>
      <c r="V101" s="87">
        <v>0</v>
      </c>
      <c r="W101" s="57">
        <f t="shared" si="62"/>
        <v>0</v>
      </c>
      <c r="X101" s="87">
        <v>0</v>
      </c>
      <c r="Y101" s="59"/>
      <c r="Z101" s="15">
        <f t="shared" si="63"/>
        <v>541.25</v>
      </c>
      <c r="AA101" s="15">
        <f t="shared" si="64"/>
        <v>46.039135096497496</v>
      </c>
      <c r="AB101" s="69">
        <f>IFERROR(REPORTE[[#This Row],[Kg Exportados]]/REPORTE[[#This Row],[Ha]],"")</f>
        <v>46.039135096497496</v>
      </c>
      <c r="AC101" s="65" t="str">
        <f>IFERROR(VLOOKUP(REPORTE[[#This Row],[Lote]],PROYECCION[],16,FALSE),"")</f>
        <v>Cosechando</v>
      </c>
      <c r="AD101" s="66" t="s">
        <v>72</v>
      </c>
      <c r="AE101" s="2"/>
      <c r="AG101" s="2"/>
      <c r="AK101" s="2"/>
      <c r="AL101" s="2"/>
      <c r="AN101" s="2"/>
    </row>
    <row r="102" spans="1:40" ht="14.25" customHeight="1" x14ac:dyDescent="0.25">
      <c r="A102" s="42">
        <f t="shared" si="57"/>
        <v>14</v>
      </c>
      <c r="B102" s="42" t="str">
        <f>TEXT(REPORTE[[#This Row],[Fecha]],"MMMM")</f>
        <v>Abril</v>
      </c>
      <c r="C102" s="42" t="str">
        <f>IFERROR(VLOOKUP(REPORTE[[#This Row],[Lote]],PROYECCION[],3,FALSE),"")</f>
        <v>El Marsano</v>
      </c>
      <c r="D102" s="47" t="str">
        <f>IFERROR(VLOOKUP(REPORTE[[#This Row],[Lote]],PROYECCION[],2,FALSE),"")</f>
        <v>Agricola Guili S.A.C</v>
      </c>
      <c r="E102" s="65" t="s">
        <v>16</v>
      </c>
      <c r="F102" s="53">
        <f>IFERROR(VLOOKUP(REPORTE[[#This Row],[Lote]],PROYECCION[],5,FALSE),"")</f>
        <v>26.57</v>
      </c>
      <c r="G102" s="42" t="str">
        <f>IFERROR(VLOOKUP(REPORTE[[#This Row],[Lote]],PROYECCION[],4,FALSE),"")</f>
        <v>Hass</v>
      </c>
      <c r="H102" s="42" t="str">
        <f>IFERROR(VLOOKUP(REPORTE[[#This Row],[Lote]],PROYECCION[],6,FALSE),"")</f>
        <v>Negra</v>
      </c>
      <c r="I102" s="96"/>
      <c r="J102" s="15"/>
      <c r="K102" s="44"/>
      <c r="L102" s="42" t="s">
        <v>158</v>
      </c>
      <c r="M102" s="47" t="s">
        <v>157</v>
      </c>
      <c r="N102" s="84">
        <v>45386</v>
      </c>
      <c r="O102" s="85">
        <v>2</v>
      </c>
      <c r="P102" s="48">
        <f t="shared" si="58"/>
        <v>403.75</v>
      </c>
      <c r="Q102" s="56">
        <f t="shared" si="59"/>
        <v>80.75</v>
      </c>
      <c r="R102" s="86">
        <v>807.5</v>
      </c>
      <c r="S102" s="57">
        <f t="shared" si="60"/>
        <v>807.5</v>
      </c>
      <c r="T102" s="87">
        <v>1</v>
      </c>
      <c r="U102" s="58">
        <f t="shared" si="61"/>
        <v>0</v>
      </c>
      <c r="V102" s="87">
        <v>0</v>
      </c>
      <c r="W102" s="57">
        <f t="shared" si="62"/>
        <v>0</v>
      </c>
      <c r="X102" s="87">
        <v>0</v>
      </c>
      <c r="Y102" s="59"/>
      <c r="Z102" s="15">
        <f t="shared" si="63"/>
        <v>807.5</v>
      </c>
      <c r="AA102" s="15">
        <f t="shared" si="64"/>
        <v>30.391418893488897</v>
      </c>
      <c r="AB102" s="69">
        <f>IFERROR(REPORTE[[#This Row],[Kg Exportados]]/REPORTE[[#This Row],[Ha]],"")</f>
        <v>30.391418893488897</v>
      </c>
      <c r="AC102" s="65" t="str">
        <f>IFERROR(VLOOKUP(REPORTE[[#This Row],[Lote]],PROYECCION[],16,FALSE),"")</f>
        <v>Cosechando</v>
      </c>
      <c r="AD102" s="66" t="s">
        <v>72</v>
      </c>
      <c r="AE102" s="2"/>
      <c r="AG102" s="2"/>
      <c r="AK102" s="2"/>
      <c r="AL102" s="2"/>
      <c r="AN102" s="2"/>
    </row>
    <row r="103" spans="1:40" ht="14.25" customHeight="1" x14ac:dyDescent="0.25">
      <c r="A103" s="42">
        <f t="shared" si="57"/>
        <v>14</v>
      </c>
      <c r="B103" s="42" t="str">
        <f>TEXT(REPORTE[[#This Row],[Fecha]],"MMMM")</f>
        <v>Abril</v>
      </c>
      <c r="C103" s="42" t="str">
        <f>IFERROR(VLOOKUP(REPORTE[[#This Row],[Lote]],PROYECCION[],3,FALSE),"")</f>
        <v/>
      </c>
      <c r="D103" s="47" t="str">
        <f>IFERROR(VLOOKUP(REPORTE[[#This Row],[Lote]],PROYECCION[],2,FALSE),"")</f>
        <v/>
      </c>
      <c r="E103" s="65"/>
      <c r="F103" s="53" t="str">
        <f>IFERROR(VLOOKUP(REPORTE[[#This Row],[Lote]],PROYECCION[],5,FALSE),"")</f>
        <v/>
      </c>
      <c r="G103" s="42" t="str">
        <f>IFERROR(VLOOKUP(REPORTE[[#This Row],[Lote]],PROYECCION[],4,FALSE),"")</f>
        <v/>
      </c>
      <c r="H103" s="42" t="str">
        <f>IFERROR(VLOOKUP(REPORTE[[#This Row],[Lote]],PROYECCION[],6,FALSE),"")</f>
        <v/>
      </c>
      <c r="I103" s="96" t="s">
        <v>153</v>
      </c>
      <c r="J103" s="15">
        <f>SUM($S$100:$S$102)*REPORTE[[#This Row],[% Calibre]]</f>
        <v>1319.9999999999993</v>
      </c>
      <c r="K103" s="44">
        <v>0.69841269841269804</v>
      </c>
      <c r="L103" s="42"/>
      <c r="M103" s="47"/>
      <c r="N103" s="84">
        <v>45386</v>
      </c>
      <c r="O103" s="85"/>
      <c r="P103" s="48" t="str">
        <f t="shared" si="58"/>
        <v/>
      </c>
      <c r="Q103" s="56">
        <f t="shared" si="59"/>
        <v>0</v>
      </c>
      <c r="R103" s="86"/>
      <c r="S103" s="57">
        <f t="shared" si="60"/>
        <v>0</v>
      </c>
      <c r="T103" s="87"/>
      <c r="U103" s="58">
        <f t="shared" si="61"/>
        <v>0</v>
      </c>
      <c r="V103" s="87"/>
      <c r="W103" s="57">
        <f t="shared" si="62"/>
        <v>0</v>
      </c>
      <c r="X103" s="87"/>
      <c r="Y103" s="59"/>
      <c r="Z103" s="15">
        <f t="shared" si="63"/>
        <v>0</v>
      </c>
      <c r="AA103" s="15" t="str">
        <f t="shared" si="64"/>
        <v/>
      </c>
      <c r="AB103" s="69" t="str">
        <f>IFERROR(REPORTE[[#This Row],[Kg Exportados]]/REPORTE[[#This Row],[Ha]],"")</f>
        <v/>
      </c>
      <c r="AC103" s="65" t="str">
        <f>IFERROR(VLOOKUP(REPORTE[[#This Row],[Lote]],PROYECCION[],16,FALSE),"")</f>
        <v/>
      </c>
      <c r="AD103" s="66" t="s">
        <v>72</v>
      </c>
      <c r="AE103" s="2"/>
      <c r="AG103" s="2"/>
      <c r="AK103" s="2"/>
      <c r="AL103" s="2"/>
      <c r="AN103" s="2"/>
    </row>
    <row r="104" spans="1:40" ht="14.25" customHeight="1" x14ac:dyDescent="0.25">
      <c r="A104" s="42">
        <f t="shared" si="57"/>
        <v>14</v>
      </c>
      <c r="B104" s="42" t="str">
        <f>TEXT(REPORTE[[#This Row],[Fecha]],"MMMM")</f>
        <v>Abril</v>
      </c>
      <c r="C104" s="42" t="str">
        <f>IFERROR(VLOOKUP(REPORTE[[#This Row],[Lote]],PROYECCION[],3,FALSE),"")</f>
        <v/>
      </c>
      <c r="D104" s="47" t="str">
        <f>IFERROR(VLOOKUP(REPORTE[[#This Row],[Lote]],PROYECCION[],2,FALSE),"")</f>
        <v/>
      </c>
      <c r="E104" s="65"/>
      <c r="F104" s="53" t="str">
        <f>IFERROR(VLOOKUP(REPORTE[[#This Row],[Lote]],PROYECCION[],5,FALSE),"")</f>
        <v/>
      </c>
      <c r="G104" s="42" t="str">
        <f>IFERROR(VLOOKUP(REPORTE[[#This Row],[Lote]],PROYECCION[],4,FALSE),"")</f>
        <v/>
      </c>
      <c r="H104" s="42" t="str">
        <f>IFERROR(VLOOKUP(REPORTE[[#This Row],[Lote]],PROYECCION[],6,FALSE),"")</f>
        <v/>
      </c>
      <c r="I104" s="96" t="s">
        <v>159</v>
      </c>
      <c r="J104" s="15">
        <f>SUM($S$100:$S$102)*REPORTE[[#This Row],[% Calibre]]</f>
        <v>399.99999999999875</v>
      </c>
      <c r="K104" s="44">
        <v>0.21164021164021099</v>
      </c>
      <c r="L104" s="42"/>
      <c r="M104" s="47"/>
      <c r="N104" s="84">
        <v>45386</v>
      </c>
      <c r="O104" s="85"/>
      <c r="P104" s="48" t="str">
        <f t="shared" si="58"/>
        <v/>
      </c>
      <c r="Q104" s="56">
        <f t="shared" si="59"/>
        <v>0</v>
      </c>
      <c r="R104" s="86"/>
      <c r="S104" s="57">
        <f t="shared" si="60"/>
        <v>0</v>
      </c>
      <c r="T104" s="87"/>
      <c r="U104" s="58">
        <f t="shared" si="61"/>
        <v>0</v>
      </c>
      <c r="V104" s="87"/>
      <c r="W104" s="57">
        <f t="shared" si="62"/>
        <v>0</v>
      </c>
      <c r="X104" s="87"/>
      <c r="Y104" s="59"/>
      <c r="Z104" s="15">
        <f t="shared" si="63"/>
        <v>0</v>
      </c>
      <c r="AA104" s="15" t="str">
        <f t="shared" si="64"/>
        <v/>
      </c>
      <c r="AB104" s="69" t="str">
        <f>IFERROR(REPORTE[[#This Row],[Kg Exportados]]/REPORTE[[#This Row],[Ha]],"")</f>
        <v/>
      </c>
      <c r="AC104" s="65" t="str">
        <f>IFERROR(VLOOKUP(REPORTE[[#This Row],[Lote]],PROYECCION[],16,FALSE),"")</f>
        <v/>
      </c>
      <c r="AD104" s="66" t="s">
        <v>72</v>
      </c>
      <c r="AE104" s="2"/>
      <c r="AG104" s="2"/>
      <c r="AK104" s="2"/>
      <c r="AL104" s="2"/>
      <c r="AN104" s="2"/>
    </row>
    <row r="105" spans="1:40" ht="14.25" customHeight="1" x14ac:dyDescent="0.25">
      <c r="A105" s="42">
        <f t="shared" si="57"/>
        <v>14</v>
      </c>
      <c r="B105" s="42" t="str">
        <f>TEXT(REPORTE[[#This Row],[Fecha]],"MMMM")</f>
        <v>Abril</v>
      </c>
      <c r="C105" s="42" t="str">
        <f>IFERROR(VLOOKUP(REPORTE[[#This Row],[Lote]],PROYECCION[],3,FALSE),"")</f>
        <v/>
      </c>
      <c r="D105" s="47" t="str">
        <f>IFERROR(VLOOKUP(REPORTE[[#This Row],[Lote]],PROYECCION[],2,FALSE),"")</f>
        <v/>
      </c>
      <c r="E105" s="65"/>
      <c r="F105" s="53" t="str">
        <f>IFERROR(VLOOKUP(REPORTE[[#This Row],[Lote]],PROYECCION[],5,FALSE),"")</f>
        <v/>
      </c>
      <c r="G105" s="42" t="str">
        <f>IFERROR(VLOOKUP(REPORTE[[#This Row],[Lote]],PROYECCION[],4,FALSE),"")</f>
        <v/>
      </c>
      <c r="H105" s="42" t="str">
        <f>IFERROR(VLOOKUP(REPORTE[[#This Row],[Lote]],PROYECCION[],6,FALSE),"")</f>
        <v/>
      </c>
      <c r="I105" s="96" t="s">
        <v>160</v>
      </c>
      <c r="J105" s="15">
        <f>SUM($S$100:$S$102)*REPORTE[[#This Row],[% Calibre]]</f>
        <v>169.99999999999991</v>
      </c>
      <c r="K105" s="44">
        <v>8.99470899470899E-2</v>
      </c>
      <c r="L105" s="42"/>
      <c r="M105" s="47"/>
      <c r="N105" s="84">
        <v>45386</v>
      </c>
      <c r="O105" s="85"/>
      <c r="P105" s="48" t="str">
        <f t="shared" si="58"/>
        <v/>
      </c>
      <c r="Q105" s="56">
        <f t="shared" si="59"/>
        <v>0</v>
      </c>
      <c r="R105" s="86"/>
      <c r="S105" s="57">
        <f t="shared" si="60"/>
        <v>0</v>
      </c>
      <c r="T105" s="87"/>
      <c r="U105" s="58">
        <f t="shared" si="61"/>
        <v>0</v>
      </c>
      <c r="V105" s="87"/>
      <c r="W105" s="57">
        <f t="shared" si="62"/>
        <v>0</v>
      </c>
      <c r="X105" s="87"/>
      <c r="Y105" s="59"/>
      <c r="Z105" s="15">
        <f t="shared" si="63"/>
        <v>0</v>
      </c>
      <c r="AA105" s="15" t="str">
        <f t="shared" si="64"/>
        <v/>
      </c>
      <c r="AB105" s="69" t="str">
        <f>IFERROR(REPORTE[[#This Row],[Kg Exportados]]/REPORTE[[#This Row],[Ha]],"")</f>
        <v/>
      </c>
      <c r="AC105" s="65" t="str">
        <f>IFERROR(VLOOKUP(REPORTE[[#This Row],[Lote]],PROYECCION[],16,FALSE),"")</f>
        <v/>
      </c>
      <c r="AD105" s="66" t="s">
        <v>72</v>
      </c>
      <c r="AE105" s="2"/>
      <c r="AG105" s="2"/>
      <c r="AK105" s="2"/>
      <c r="AL105" s="2"/>
      <c r="AN105" s="2"/>
    </row>
    <row r="106" spans="1:40" ht="14.25" customHeight="1" x14ac:dyDescent="0.25">
      <c r="A106" s="42">
        <f t="shared" si="57"/>
        <v>14</v>
      </c>
      <c r="B106" s="42" t="str">
        <f>TEXT(REPORTE[[#This Row],[Fecha]],"MMMM")</f>
        <v>Abril</v>
      </c>
      <c r="C106" s="42" t="str">
        <f>IFERROR(VLOOKUP(REPORTE[[#This Row],[Lote]],PROYECCION[],3,FALSE),"")</f>
        <v>Don Nico</v>
      </c>
      <c r="D106" s="47" t="str">
        <f>IFERROR(VLOOKUP(REPORTE[[#This Row],[Lote]],PROYECCION[],2,FALSE),"")</f>
        <v>Agricola Guili S.A.C</v>
      </c>
      <c r="E106" s="65" t="s">
        <v>47</v>
      </c>
      <c r="F106" s="53">
        <f>IFERROR(VLOOKUP(REPORTE[[#This Row],[Lote]],PROYECCION[],5,FALSE),"")</f>
        <v>9.7542016806722689</v>
      </c>
      <c r="G106" s="42" t="str">
        <f>IFERROR(VLOOKUP(REPORTE[[#This Row],[Lote]],PROYECCION[],4,FALSE),"")</f>
        <v>Hass</v>
      </c>
      <c r="H106" s="42" t="str">
        <f>IFERROR(VLOOKUP(REPORTE[[#This Row],[Lote]],PROYECCION[],6,FALSE),"")</f>
        <v>Negra</v>
      </c>
      <c r="I106" s="96"/>
      <c r="J106" s="15"/>
      <c r="K106" s="44"/>
      <c r="L106" s="42" t="s">
        <v>156</v>
      </c>
      <c r="M106" s="42" t="s">
        <v>161</v>
      </c>
      <c r="N106" s="84">
        <v>45386</v>
      </c>
      <c r="O106" s="85">
        <v>18</v>
      </c>
      <c r="P106" s="48">
        <f t="shared" si="58"/>
        <v>423.91388888888889</v>
      </c>
      <c r="Q106" s="56">
        <f t="shared" si="59"/>
        <v>714.1036096311052</v>
      </c>
      <c r="R106" s="86">
        <v>7630.45</v>
      </c>
      <c r="S106" s="57">
        <f t="shared" si="60"/>
        <v>7141.0360963110525</v>
      </c>
      <c r="T106" s="87">
        <v>0.93586041403993903</v>
      </c>
      <c r="U106" s="58">
        <f t="shared" si="61"/>
        <v>98.534505022979914</v>
      </c>
      <c r="V106" s="87">
        <v>1.2913328181559399E-2</v>
      </c>
      <c r="W106" s="57">
        <f t="shared" si="62"/>
        <v>390.87939866596145</v>
      </c>
      <c r="X106" s="87">
        <v>5.1226257778500803E-2</v>
      </c>
      <c r="Y106" s="59"/>
      <c r="Z106" s="15">
        <f t="shared" si="63"/>
        <v>7630.45</v>
      </c>
      <c r="AA106" s="15">
        <f t="shared" si="64"/>
        <v>782.27314236485029</v>
      </c>
      <c r="AB106" s="69">
        <f>IFERROR(REPORTE[[#This Row],[Kg Exportados]]/REPORTE[[#This Row],[Ha]],"")</f>
        <v>732.09846690589291</v>
      </c>
      <c r="AC106" s="65" t="str">
        <f>IFERROR(VLOOKUP(REPORTE[[#This Row],[Lote]],PROYECCION[],16,FALSE),"")</f>
        <v>Cosechando</v>
      </c>
      <c r="AD106" s="66" t="s">
        <v>32</v>
      </c>
      <c r="AE106" s="2"/>
      <c r="AG106" s="2"/>
      <c r="AK106" s="2"/>
      <c r="AL106" s="2"/>
      <c r="AN106" s="2"/>
    </row>
    <row r="107" spans="1:40" ht="14.25" customHeight="1" x14ac:dyDescent="0.25">
      <c r="A107" s="42">
        <f t="shared" si="57"/>
        <v>14</v>
      </c>
      <c r="B107" s="42" t="str">
        <f>TEXT(REPORTE[[#This Row],[Fecha]],"MMMM")</f>
        <v>Abril</v>
      </c>
      <c r="C107" s="42" t="str">
        <f>IFERROR(VLOOKUP(REPORTE[[#This Row],[Lote]],PROYECCION[],3,FALSE),"")</f>
        <v>Don Nico</v>
      </c>
      <c r="D107" s="47" t="str">
        <f>IFERROR(VLOOKUP(REPORTE[[#This Row],[Lote]],PROYECCION[],2,FALSE),"")</f>
        <v>Agricola Guili S.A.C</v>
      </c>
      <c r="E107" s="65" t="s">
        <v>45</v>
      </c>
      <c r="F107" s="53">
        <f>IFERROR(VLOOKUP(REPORTE[[#This Row],[Lote]],PROYECCION[],5,FALSE),"")</f>
        <v>11.756302521008404</v>
      </c>
      <c r="G107" s="42" t="str">
        <f>IFERROR(VLOOKUP(REPORTE[[#This Row],[Lote]],PROYECCION[],4,FALSE),"")</f>
        <v>Hass</v>
      </c>
      <c r="H107" s="42" t="str">
        <f>IFERROR(VLOOKUP(REPORTE[[#This Row],[Lote]],PROYECCION[],6,FALSE),"")</f>
        <v>Negra</v>
      </c>
      <c r="I107" s="96"/>
      <c r="J107" s="15"/>
      <c r="K107" s="44"/>
      <c r="L107" s="42" t="s">
        <v>156</v>
      </c>
      <c r="M107" s="42" t="s">
        <v>161</v>
      </c>
      <c r="N107" s="84">
        <v>45386</v>
      </c>
      <c r="O107" s="85">
        <v>40</v>
      </c>
      <c r="P107" s="48">
        <f t="shared" si="58"/>
        <v>423.91374999999999</v>
      </c>
      <c r="Q107" s="56">
        <f t="shared" si="59"/>
        <v>1586.8963903688928</v>
      </c>
      <c r="R107" s="86">
        <v>16956.55</v>
      </c>
      <c r="S107" s="57">
        <f t="shared" si="60"/>
        <v>15868.963903688928</v>
      </c>
      <c r="T107" s="87">
        <v>0.93586041403993903</v>
      </c>
      <c r="U107" s="58">
        <f t="shared" si="61"/>
        <v>218.96549497702102</v>
      </c>
      <c r="V107" s="87">
        <v>1.2913328181559399E-2</v>
      </c>
      <c r="W107" s="57">
        <f t="shared" si="62"/>
        <v>868.6206013340377</v>
      </c>
      <c r="X107" s="87">
        <v>5.1226257778500803E-2</v>
      </c>
      <c r="Y107" s="59"/>
      <c r="Z107" s="15">
        <f t="shared" si="63"/>
        <v>16956.55</v>
      </c>
      <c r="AA107" s="15">
        <f t="shared" si="64"/>
        <v>1442.3369907076481</v>
      </c>
      <c r="AB107" s="69">
        <f>IFERROR(REPORTE[[#This Row],[Kg Exportados]]/REPORTE[[#This Row],[Ha]],"")</f>
        <v>1349.8260933087793</v>
      </c>
      <c r="AC107" s="65" t="str">
        <f>IFERROR(VLOOKUP(REPORTE[[#This Row],[Lote]],PROYECCION[],16,FALSE),"")</f>
        <v>Cosechando</v>
      </c>
      <c r="AD107" s="66" t="s">
        <v>32</v>
      </c>
      <c r="AE107" s="2"/>
      <c r="AG107" s="2"/>
      <c r="AK107" s="2"/>
      <c r="AL107" s="2"/>
      <c r="AN107" s="2"/>
    </row>
    <row r="108" spans="1:40" ht="14.25" customHeight="1" x14ac:dyDescent="0.25">
      <c r="A108" s="42">
        <f t="shared" si="57"/>
        <v>14</v>
      </c>
      <c r="B108" s="42" t="str">
        <f>TEXT(REPORTE[[#This Row],[Fecha]],"MMMM")</f>
        <v>Abril</v>
      </c>
      <c r="C108" s="42" t="str">
        <f>IFERROR(VLOOKUP(REPORTE[[#This Row],[Lote]],PROYECCION[],3,FALSE),"")</f>
        <v/>
      </c>
      <c r="D108" s="47" t="str">
        <f>IFERROR(VLOOKUP(REPORTE[[#This Row],[Lote]],PROYECCION[],2,FALSE),"")</f>
        <v/>
      </c>
      <c r="E108" s="65"/>
      <c r="F108" s="53" t="str">
        <f>IFERROR(VLOOKUP(REPORTE[[#This Row],[Lote]],PROYECCION[],5,FALSE),"")</f>
        <v/>
      </c>
      <c r="G108" s="42" t="str">
        <f>IFERROR(VLOOKUP(REPORTE[[#This Row],[Lote]],PROYECCION[],4,FALSE),"")</f>
        <v/>
      </c>
      <c r="H108" s="42" t="str">
        <f>IFERROR(VLOOKUP(REPORTE[[#This Row],[Lote]],PROYECCION[],6,FALSE),"")</f>
        <v/>
      </c>
      <c r="I108" s="96" t="s">
        <v>162</v>
      </c>
      <c r="J108" s="15">
        <f>SUM($S$106:$S$107)*REPORTE[[#This Row],[% Calibre]]</f>
        <v>120.0000000000009</v>
      </c>
      <c r="K108" s="44">
        <v>5.2151238591916999E-3</v>
      </c>
      <c r="L108" s="42"/>
      <c r="M108" s="47"/>
      <c r="N108" s="84">
        <v>45386</v>
      </c>
      <c r="O108" s="85"/>
      <c r="P108" s="48" t="str">
        <f t="shared" si="58"/>
        <v/>
      </c>
      <c r="Q108" s="56">
        <f t="shared" si="59"/>
        <v>0</v>
      </c>
      <c r="R108" s="86"/>
      <c r="S108" s="57">
        <f t="shared" si="60"/>
        <v>0</v>
      </c>
      <c r="T108" s="87"/>
      <c r="U108" s="58">
        <f t="shared" si="61"/>
        <v>0</v>
      </c>
      <c r="V108" s="87"/>
      <c r="W108" s="57">
        <f t="shared" si="62"/>
        <v>0</v>
      </c>
      <c r="X108" s="87"/>
      <c r="Y108" s="59"/>
      <c r="Z108" s="15">
        <f t="shared" si="63"/>
        <v>0</v>
      </c>
      <c r="AA108" s="15" t="str">
        <f t="shared" si="64"/>
        <v/>
      </c>
      <c r="AB108" s="69" t="str">
        <f>IFERROR(REPORTE[[#This Row],[Kg Exportados]]/REPORTE[[#This Row],[Ha]],"")</f>
        <v/>
      </c>
      <c r="AC108" s="65" t="str">
        <f>IFERROR(VLOOKUP(REPORTE[[#This Row],[Lote]],PROYECCION[],16,FALSE),"")</f>
        <v/>
      </c>
      <c r="AD108" s="66" t="s">
        <v>32</v>
      </c>
      <c r="AE108" s="2"/>
      <c r="AG108" s="2"/>
      <c r="AK108" s="2"/>
      <c r="AL108" s="2"/>
      <c r="AN108" s="2"/>
    </row>
    <row r="109" spans="1:40" ht="14.25" customHeight="1" x14ac:dyDescent="0.25">
      <c r="A109" s="42">
        <f t="shared" si="57"/>
        <v>14</v>
      </c>
      <c r="B109" s="42" t="str">
        <f>TEXT(REPORTE[[#This Row],[Fecha]],"MMMM")</f>
        <v>Abril</v>
      </c>
      <c r="C109" s="42" t="str">
        <f>IFERROR(VLOOKUP(REPORTE[[#This Row],[Lote]],PROYECCION[],3,FALSE),"")</f>
        <v/>
      </c>
      <c r="D109" s="47" t="str">
        <f>IFERROR(VLOOKUP(REPORTE[[#This Row],[Lote]],PROYECCION[],2,FALSE),"")</f>
        <v/>
      </c>
      <c r="E109" s="65"/>
      <c r="F109" s="53" t="str">
        <f>IFERROR(VLOOKUP(REPORTE[[#This Row],[Lote]],PROYECCION[],5,FALSE),"")</f>
        <v/>
      </c>
      <c r="G109" s="42" t="str">
        <f>IFERROR(VLOOKUP(REPORTE[[#This Row],[Lote]],PROYECCION[],4,FALSE),"")</f>
        <v/>
      </c>
      <c r="H109" s="42" t="str">
        <f>IFERROR(VLOOKUP(REPORTE[[#This Row],[Lote]],PROYECCION[],6,FALSE),"")</f>
        <v/>
      </c>
      <c r="I109" s="96" t="s">
        <v>163</v>
      </c>
      <c r="J109" s="15">
        <f>SUM($S$106:$S$107)*REPORTE[[#This Row],[% Calibre]]</f>
        <v>1109.9999999999986</v>
      </c>
      <c r="K109" s="44">
        <v>4.8239895697522801E-2</v>
      </c>
      <c r="L109" s="42"/>
      <c r="M109" s="47"/>
      <c r="N109" s="84">
        <v>45386</v>
      </c>
      <c r="O109" s="85"/>
      <c r="P109" s="48" t="str">
        <f t="shared" si="58"/>
        <v/>
      </c>
      <c r="Q109" s="56">
        <f t="shared" si="59"/>
        <v>0</v>
      </c>
      <c r="R109" s="86"/>
      <c r="S109" s="57">
        <f t="shared" si="60"/>
        <v>0</v>
      </c>
      <c r="T109" s="87"/>
      <c r="U109" s="58">
        <f t="shared" si="61"/>
        <v>0</v>
      </c>
      <c r="V109" s="87"/>
      <c r="W109" s="57">
        <f t="shared" si="62"/>
        <v>0</v>
      </c>
      <c r="X109" s="87"/>
      <c r="Y109" s="59"/>
      <c r="Z109" s="15">
        <f t="shared" si="63"/>
        <v>0</v>
      </c>
      <c r="AA109" s="15" t="str">
        <f t="shared" si="64"/>
        <v/>
      </c>
      <c r="AB109" s="69" t="str">
        <f>IFERROR(REPORTE[[#This Row],[Kg Exportados]]/REPORTE[[#This Row],[Ha]],"")</f>
        <v/>
      </c>
      <c r="AC109" s="65" t="str">
        <f>IFERROR(VLOOKUP(REPORTE[[#This Row],[Lote]],PROYECCION[],16,FALSE),"")</f>
        <v/>
      </c>
      <c r="AD109" s="66" t="s">
        <v>32</v>
      </c>
      <c r="AE109" s="2"/>
      <c r="AG109" s="2"/>
      <c r="AK109" s="2"/>
      <c r="AL109" s="2"/>
      <c r="AN109" s="2"/>
    </row>
    <row r="110" spans="1:40" ht="14.25" customHeight="1" x14ac:dyDescent="0.25">
      <c r="A110" s="42">
        <f t="shared" si="57"/>
        <v>14</v>
      </c>
      <c r="B110" s="42" t="str">
        <f>TEXT(REPORTE[[#This Row],[Fecha]],"MMMM")</f>
        <v>Abril</v>
      </c>
      <c r="C110" s="42" t="str">
        <f>IFERROR(VLOOKUP(REPORTE[[#This Row],[Lote]],PROYECCION[],3,FALSE),"")</f>
        <v/>
      </c>
      <c r="D110" s="47" t="str">
        <f>IFERROR(VLOOKUP(REPORTE[[#This Row],[Lote]],PROYECCION[],2,FALSE),"")</f>
        <v/>
      </c>
      <c r="E110" s="65"/>
      <c r="F110" s="53" t="str">
        <f>IFERROR(VLOOKUP(REPORTE[[#This Row],[Lote]],PROYECCION[],5,FALSE),"")</f>
        <v/>
      </c>
      <c r="G110" s="42" t="str">
        <f>IFERROR(VLOOKUP(REPORTE[[#This Row],[Lote]],PROYECCION[],4,FALSE),"")</f>
        <v/>
      </c>
      <c r="H110" s="42" t="str">
        <f>IFERROR(VLOOKUP(REPORTE[[#This Row],[Lote]],PROYECCION[],6,FALSE),"")</f>
        <v/>
      </c>
      <c r="I110" s="96" t="s">
        <v>164</v>
      </c>
      <c r="J110" s="15">
        <f>SUM($S$106:$S$107)*REPORTE[[#This Row],[% Calibre]]</f>
        <v>4009.9999999999773</v>
      </c>
      <c r="K110" s="44">
        <v>0.174272055627987</v>
      </c>
      <c r="L110" s="42"/>
      <c r="M110" s="47"/>
      <c r="N110" s="84">
        <v>45386</v>
      </c>
      <c r="O110" s="85"/>
      <c r="P110" s="48" t="str">
        <f t="shared" si="58"/>
        <v/>
      </c>
      <c r="Q110" s="56">
        <f t="shared" si="59"/>
        <v>0</v>
      </c>
      <c r="R110" s="86"/>
      <c r="S110" s="57">
        <f t="shared" si="60"/>
        <v>0</v>
      </c>
      <c r="T110" s="87"/>
      <c r="U110" s="58">
        <f t="shared" si="61"/>
        <v>0</v>
      </c>
      <c r="V110" s="87"/>
      <c r="W110" s="57">
        <f t="shared" si="62"/>
        <v>0</v>
      </c>
      <c r="X110" s="87"/>
      <c r="Y110" s="59"/>
      <c r="Z110" s="15">
        <f t="shared" si="63"/>
        <v>0</v>
      </c>
      <c r="AA110" s="15" t="str">
        <f t="shared" si="64"/>
        <v/>
      </c>
      <c r="AB110" s="69" t="str">
        <f>IFERROR(REPORTE[[#This Row],[Kg Exportados]]/REPORTE[[#This Row],[Ha]],"")</f>
        <v/>
      </c>
      <c r="AC110" s="65" t="str">
        <f>IFERROR(VLOOKUP(REPORTE[[#This Row],[Lote]],PROYECCION[],16,FALSE),"")</f>
        <v/>
      </c>
      <c r="AD110" s="66" t="s">
        <v>32</v>
      </c>
      <c r="AE110" s="2"/>
      <c r="AG110" s="2"/>
      <c r="AK110" s="2"/>
      <c r="AL110" s="2"/>
      <c r="AN110" s="2"/>
    </row>
    <row r="111" spans="1:40" ht="14.25" customHeight="1" x14ac:dyDescent="0.25">
      <c r="A111" s="42">
        <f t="shared" ref="A111:A147" si="65">WEEKNUM(N111)</f>
        <v>14</v>
      </c>
      <c r="B111" s="42" t="str">
        <f>TEXT(REPORTE[[#This Row],[Fecha]],"MMMM")</f>
        <v>Abril</v>
      </c>
      <c r="C111" s="42" t="str">
        <f>IFERROR(VLOOKUP(REPORTE[[#This Row],[Lote]],PROYECCION[],3,FALSE),"")</f>
        <v/>
      </c>
      <c r="D111" s="47" t="str">
        <f>IFERROR(VLOOKUP(REPORTE[[#This Row],[Lote]],PROYECCION[],2,FALSE),"")</f>
        <v/>
      </c>
      <c r="E111" s="65"/>
      <c r="F111" s="53" t="str">
        <f>IFERROR(VLOOKUP(REPORTE[[#This Row],[Lote]],PROYECCION[],5,FALSE),"")</f>
        <v/>
      </c>
      <c r="G111" s="42" t="str">
        <f>IFERROR(VLOOKUP(REPORTE[[#This Row],[Lote]],PROYECCION[],4,FALSE),"")</f>
        <v/>
      </c>
      <c r="H111" s="42" t="str">
        <f>IFERROR(VLOOKUP(REPORTE[[#This Row],[Lote]],PROYECCION[],6,FALSE),"")</f>
        <v/>
      </c>
      <c r="I111" s="96" t="s">
        <v>154</v>
      </c>
      <c r="J111" s="15">
        <f>SUM($S$106:$S$107)*REPORTE[[#This Row],[% Calibre]]</f>
        <v>5089.9999999999782</v>
      </c>
      <c r="K111" s="44">
        <v>0.221208170360712</v>
      </c>
      <c r="L111" s="42"/>
      <c r="M111" s="47"/>
      <c r="N111" s="84">
        <v>45386</v>
      </c>
      <c r="O111" s="85"/>
      <c r="P111" s="48" t="str">
        <f t="shared" ref="P111:P147" si="66">IFERROR((+R111/O111),"")</f>
        <v/>
      </c>
      <c r="Q111" s="56">
        <f t="shared" ref="Q111:Q147" si="67">+S111/10</f>
        <v>0</v>
      </c>
      <c r="R111" s="86"/>
      <c r="S111" s="57">
        <f t="shared" ref="S111:S147" si="68">+R111*T111</f>
        <v>0</v>
      </c>
      <c r="T111" s="87"/>
      <c r="U111" s="58">
        <f t="shared" ref="U111:U147" si="69">R111*V111</f>
        <v>0</v>
      </c>
      <c r="V111" s="87"/>
      <c r="W111" s="57">
        <f t="shared" ref="W111:W147" si="70">R111*X111</f>
        <v>0</v>
      </c>
      <c r="X111" s="87"/>
      <c r="Y111" s="59"/>
      <c r="Z111" s="15">
        <f t="shared" ref="Z111:Z147" si="71">R111+Y111</f>
        <v>0</v>
      </c>
      <c r="AA111" s="15" t="str">
        <f t="shared" ref="AA111:AA147" si="72">IFERROR((Z111/F111),"")</f>
        <v/>
      </c>
      <c r="AB111" s="69" t="str">
        <f>IFERROR(REPORTE[[#This Row],[Kg Exportados]]/REPORTE[[#This Row],[Ha]],"")</f>
        <v/>
      </c>
      <c r="AC111" s="65" t="str">
        <f>IFERROR(VLOOKUP(REPORTE[[#This Row],[Lote]],PROYECCION[],16,FALSE),"")</f>
        <v/>
      </c>
      <c r="AD111" s="66" t="s">
        <v>32</v>
      </c>
      <c r="AE111" s="2"/>
      <c r="AG111" s="2"/>
      <c r="AK111" s="2"/>
      <c r="AL111" s="2"/>
      <c r="AN111" s="2"/>
    </row>
    <row r="112" spans="1:40" ht="14.25" customHeight="1" x14ac:dyDescent="0.25">
      <c r="A112" s="42">
        <f t="shared" si="65"/>
        <v>14</v>
      </c>
      <c r="B112" s="42" t="str">
        <f>TEXT(REPORTE[[#This Row],[Fecha]],"MMMM")</f>
        <v>Abril</v>
      </c>
      <c r="C112" s="42" t="str">
        <f>IFERROR(VLOOKUP(REPORTE[[#This Row],[Lote]],PROYECCION[],3,FALSE),"")</f>
        <v/>
      </c>
      <c r="D112" s="47" t="str">
        <f>IFERROR(VLOOKUP(REPORTE[[#This Row],[Lote]],PROYECCION[],2,FALSE),"")</f>
        <v/>
      </c>
      <c r="E112" s="65"/>
      <c r="F112" s="53" t="str">
        <f>IFERROR(VLOOKUP(REPORTE[[#This Row],[Lote]],PROYECCION[],5,FALSE),"")</f>
        <v/>
      </c>
      <c r="G112" s="42" t="str">
        <f>IFERROR(VLOOKUP(REPORTE[[#This Row],[Lote]],PROYECCION[],4,FALSE),"")</f>
        <v/>
      </c>
      <c r="H112" s="42" t="str">
        <f>IFERROR(VLOOKUP(REPORTE[[#This Row],[Lote]],PROYECCION[],6,FALSE),"")</f>
        <v/>
      </c>
      <c r="I112" s="96" t="s">
        <v>155</v>
      </c>
      <c r="J112" s="15">
        <f>SUM($S$106:$S$107)*REPORTE[[#This Row],[% Calibre]]</f>
        <v>3599.9999999999814</v>
      </c>
      <c r="K112" s="44">
        <v>0.15645371577574901</v>
      </c>
      <c r="L112" s="42"/>
      <c r="M112" s="47"/>
      <c r="N112" s="84">
        <v>45386</v>
      </c>
      <c r="O112" s="85"/>
      <c r="P112" s="48" t="str">
        <f t="shared" si="66"/>
        <v/>
      </c>
      <c r="Q112" s="56">
        <f t="shared" si="67"/>
        <v>0</v>
      </c>
      <c r="R112" s="86"/>
      <c r="S112" s="57">
        <f t="shared" si="68"/>
        <v>0</v>
      </c>
      <c r="T112" s="87"/>
      <c r="U112" s="58">
        <f t="shared" si="69"/>
        <v>0</v>
      </c>
      <c r="V112" s="87"/>
      <c r="W112" s="57">
        <f t="shared" si="70"/>
        <v>0</v>
      </c>
      <c r="X112" s="87"/>
      <c r="Y112" s="59"/>
      <c r="Z112" s="15">
        <f t="shared" si="71"/>
        <v>0</v>
      </c>
      <c r="AA112" s="15" t="str">
        <f t="shared" si="72"/>
        <v/>
      </c>
      <c r="AB112" s="69" t="str">
        <f>IFERROR(REPORTE[[#This Row],[Kg Exportados]]/REPORTE[[#This Row],[Ha]],"")</f>
        <v/>
      </c>
      <c r="AC112" s="65" t="str">
        <f>IFERROR(VLOOKUP(REPORTE[[#This Row],[Lote]],PROYECCION[],16,FALSE),"")</f>
        <v/>
      </c>
      <c r="AD112" s="66" t="s">
        <v>32</v>
      </c>
      <c r="AE112" s="2"/>
      <c r="AG112" s="2"/>
      <c r="AK112" s="2"/>
      <c r="AL112" s="2"/>
      <c r="AN112" s="2"/>
    </row>
    <row r="113" spans="1:40" ht="14.25" customHeight="1" x14ac:dyDescent="0.25">
      <c r="A113" s="42">
        <f t="shared" si="65"/>
        <v>14</v>
      </c>
      <c r="B113" s="42" t="str">
        <f>TEXT(REPORTE[[#This Row],[Fecha]],"MMMM")</f>
        <v>Abril</v>
      </c>
      <c r="C113" s="42" t="str">
        <f>IFERROR(VLOOKUP(REPORTE[[#This Row],[Lote]],PROYECCION[],3,FALSE),"")</f>
        <v/>
      </c>
      <c r="D113" s="47" t="str">
        <f>IFERROR(VLOOKUP(REPORTE[[#This Row],[Lote]],PROYECCION[],2,FALSE),"")</f>
        <v/>
      </c>
      <c r="E113" s="65"/>
      <c r="F113" s="53" t="str">
        <f>IFERROR(VLOOKUP(REPORTE[[#This Row],[Lote]],PROYECCION[],5,FALSE),"")</f>
        <v/>
      </c>
      <c r="G113" s="42" t="str">
        <f>IFERROR(VLOOKUP(REPORTE[[#This Row],[Lote]],PROYECCION[],4,FALSE),"")</f>
        <v/>
      </c>
      <c r="H113" s="42" t="str">
        <f>IFERROR(VLOOKUP(REPORTE[[#This Row],[Lote]],PROYECCION[],6,FALSE),"")</f>
        <v/>
      </c>
      <c r="I113" s="96" t="s">
        <v>165</v>
      </c>
      <c r="J113" s="15">
        <f>SUM($S$106:$S$107)*REPORTE[[#This Row],[% Calibre]]</f>
        <v>2689.9999999999832</v>
      </c>
      <c r="K113" s="44">
        <v>0.116905693176879</v>
      </c>
      <c r="L113" s="42"/>
      <c r="M113" s="47"/>
      <c r="N113" s="84">
        <v>45386</v>
      </c>
      <c r="O113" s="85"/>
      <c r="P113" s="48" t="str">
        <f t="shared" si="66"/>
        <v/>
      </c>
      <c r="Q113" s="56">
        <f t="shared" si="67"/>
        <v>0</v>
      </c>
      <c r="R113" s="86"/>
      <c r="S113" s="57">
        <f t="shared" si="68"/>
        <v>0</v>
      </c>
      <c r="T113" s="87"/>
      <c r="U113" s="58">
        <f t="shared" si="69"/>
        <v>0</v>
      </c>
      <c r="V113" s="87"/>
      <c r="W113" s="57">
        <f t="shared" si="70"/>
        <v>0</v>
      </c>
      <c r="X113" s="87"/>
      <c r="Y113" s="59"/>
      <c r="Z113" s="15">
        <f t="shared" si="71"/>
        <v>0</v>
      </c>
      <c r="AA113" s="15" t="str">
        <f t="shared" si="72"/>
        <v/>
      </c>
      <c r="AB113" s="69" t="str">
        <f>IFERROR(REPORTE[[#This Row],[Kg Exportados]]/REPORTE[[#This Row],[Ha]],"")</f>
        <v/>
      </c>
      <c r="AC113" s="65" t="str">
        <f>IFERROR(VLOOKUP(REPORTE[[#This Row],[Lote]],PROYECCION[],16,FALSE),"")</f>
        <v/>
      </c>
      <c r="AD113" s="66" t="s">
        <v>32</v>
      </c>
      <c r="AE113" s="2"/>
      <c r="AG113" s="2"/>
      <c r="AK113" s="2"/>
      <c r="AL113" s="2"/>
      <c r="AN113" s="2"/>
    </row>
    <row r="114" spans="1:40" ht="14.25" customHeight="1" x14ac:dyDescent="0.25">
      <c r="A114" s="42">
        <f t="shared" si="65"/>
        <v>14</v>
      </c>
      <c r="B114" s="42" t="str">
        <f>TEXT(REPORTE[[#This Row],[Fecha]],"MMMM")</f>
        <v>Abril</v>
      </c>
      <c r="C114" s="42" t="str">
        <f>IFERROR(VLOOKUP(REPORTE[[#This Row],[Lote]],PROYECCION[],3,FALSE),"")</f>
        <v/>
      </c>
      <c r="D114" s="47" t="str">
        <f>IFERROR(VLOOKUP(REPORTE[[#This Row],[Lote]],PROYECCION[],2,FALSE),"")</f>
        <v/>
      </c>
      <c r="E114" s="65"/>
      <c r="F114" s="53" t="str">
        <f>IFERROR(VLOOKUP(REPORTE[[#This Row],[Lote]],PROYECCION[],5,FALSE),"")</f>
        <v/>
      </c>
      <c r="G114" s="42" t="str">
        <f>IFERROR(VLOOKUP(REPORTE[[#This Row],[Lote]],PROYECCION[],4,FALSE),"")</f>
        <v/>
      </c>
      <c r="H114" s="42" t="str">
        <f>IFERROR(VLOOKUP(REPORTE[[#This Row],[Lote]],PROYECCION[],6,FALSE),"")</f>
        <v/>
      </c>
      <c r="I114" s="96" t="s">
        <v>166</v>
      </c>
      <c r="J114" s="15">
        <f>SUM($S$106:$S$107)*REPORTE[[#This Row],[% Calibre]]</f>
        <v>2629.9999999999791</v>
      </c>
      <c r="K114" s="44">
        <v>0.114298131247283</v>
      </c>
      <c r="L114" s="42"/>
      <c r="M114" s="47"/>
      <c r="N114" s="84">
        <v>45386</v>
      </c>
      <c r="O114" s="85"/>
      <c r="P114" s="48" t="str">
        <f t="shared" si="66"/>
        <v/>
      </c>
      <c r="Q114" s="56">
        <f t="shared" si="67"/>
        <v>0</v>
      </c>
      <c r="R114" s="86"/>
      <c r="S114" s="57">
        <f t="shared" si="68"/>
        <v>0</v>
      </c>
      <c r="T114" s="87"/>
      <c r="U114" s="58">
        <f t="shared" si="69"/>
        <v>0</v>
      </c>
      <c r="V114" s="87"/>
      <c r="W114" s="57">
        <f t="shared" si="70"/>
        <v>0</v>
      </c>
      <c r="X114" s="87"/>
      <c r="Y114" s="59"/>
      <c r="Z114" s="15">
        <f t="shared" si="71"/>
        <v>0</v>
      </c>
      <c r="AA114" s="15" t="str">
        <f t="shared" si="72"/>
        <v/>
      </c>
      <c r="AB114" s="69" t="str">
        <f>IFERROR(REPORTE[[#This Row],[Kg Exportados]]/REPORTE[[#This Row],[Ha]],"")</f>
        <v/>
      </c>
      <c r="AC114" s="65" t="str">
        <f>IFERROR(VLOOKUP(REPORTE[[#This Row],[Lote]],PROYECCION[],16,FALSE),"")</f>
        <v/>
      </c>
      <c r="AD114" s="66" t="s">
        <v>32</v>
      </c>
      <c r="AE114" s="2"/>
      <c r="AG114" s="2"/>
      <c r="AK114" s="2"/>
      <c r="AL114" s="2"/>
      <c r="AN114" s="2"/>
    </row>
    <row r="115" spans="1:40" ht="14.25" customHeight="1" x14ac:dyDescent="0.25">
      <c r="A115" s="42">
        <f t="shared" si="65"/>
        <v>14</v>
      </c>
      <c r="B115" s="42" t="str">
        <f>TEXT(REPORTE[[#This Row],[Fecha]],"MMMM")</f>
        <v>Abril</v>
      </c>
      <c r="C115" s="42" t="str">
        <f>IFERROR(VLOOKUP(REPORTE[[#This Row],[Lote]],PROYECCION[],3,FALSE),"")</f>
        <v/>
      </c>
      <c r="D115" s="47" t="str">
        <f>IFERROR(VLOOKUP(REPORTE[[#This Row],[Lote]],PROYECCION[],2,FALSE),"")</f>
        <v/>
      </c>
      <c r="E115" s="65"/>
      <c r="F115" s="53" t="str">
        <f>IFERROR(VLOOKUP(REPORTE[[#This Row],[Lote]],PROYECCION[],5,FALSE),"")</f>
        <v/>
      </c>
      <c r="G115" s="42" t="str">
        <f>IFERROR(VLOOKUP(REPORTE[[#This Row],[Lote]],PROYECCION[],4,FALSE),"")</f>
        <v/>
      </c>
      <c r="H115" s="42" t="str">
        <f>IFERROR(VLOOKUP(REPORTE[[#This Row],[Lote]],PROYECCION[],6,FALSE),"")</f>
        <v/>
      </c>
      <c r="I115" s="96" t="s">
        <v>167</v>
      </c>
      <c r="J115" s="15">
        <f>SUM($S$106:$S$107)*REPORTE[[#This Row],[% Calibre]]</f>
        <v>1519.9999999999991</v>
      </c>
      <c r="K115" s="44">
        <v>6.6058235549760994E-2</v>
      </c>
      <c r="L115" s="42"/>
      <c r="M115" s="47"/>
      <c r="N115" s="84">
        <v>45386</v>
      </c>
      <c r="O115" s="85"/>
      <c r="P115" s="48" t="str">
        <f t="shared" si="66"/>
        <v/>
      </c>
      <c r="Q115" s="56">
        <f t="shared" si="67"/>
        <v>0</v>
      </c>
      <c r="R115" s="86"/>
      <c r="S115" s="57">
        <f t="shared" si="68"/>
        <v>0</v>
      </c>
      <c r="T115" s="87"/>
      <c r="U115" s="58">
        <f t="shared" si="69"/>
        <v>0</v>
      </c>
      <c r="V115" s="87"/>
      <c r="W115" s="57">
        <f t="shared" si="70"/>
        <v>0</v>
      </c>
      <c r="X115" s="87"/>
      <c r="Y115" s="59"/>
      <c r="Z115" s="15">
        <f t="shared" si="71"/>
        <v>0</v>
      </c>
      <c r="AA115" s="15" t="str">
        <f t="shared" si="72"/>
        <v/>
      </c>
      <c r="AB115" s="69" t="str">
        <f>IFERROR(REPORTE[[#This Row],[Kg Exportados]]/REPORTE[[#This Row],[Ha]],"")</f>
        <v/>
      </c>
      <c r="AC115" s="65" t="str">
        <f>IFERROR(VLOOKUP(REPORTE[[#This Row],[Lote]],PROYECCION[],16,FALSE),"")</f>
        <v/>
      </c>
      <c r="AD115" s="66" t="s">
        <v>32</v>
      </c>
      <c r="AE115" s="2"/>
      <c r="AG115" s="2"/>
      <c r="AK115" s="2"/>
      <c r="AL115" s="2"/>
      <c r="AN115" s="2"/>
    </row>
    <row r="116" spans="1:40" ht="14.25" customHeight="1" x14ac:dyDescent="0.25">
      <c r="A116" s="42">
        <f t="shared" si="65"/>
        <v>14</v>
      </c>
      <c r="B116" s="42" t="str">
        <f>TEXT(REPORTE[[#This Row],[Fecha]],"MMMM")</f>
        <v>Abril</v>
      </c>
      <c r="C116" s="42" t="str">
        <f>IFERROR(VLOOKUP(REPORTE[[#This Row],[Lote]],PROYECCION[],3,FALSE),"")</f>
        <v/>
      </c>
      <c r="D116" s="47" t="str">
        <f>IFERROR(VLOOKUP(REPORTE[[#This Row],[Lote]],PROYECCION[],2,FALSE),"")</f>
        <v/>
      </c>
      <c r="E116" s="65"/>
      <c r="F116" s="53" t="str">
        <f>IFERROR(VLOOKUP(REPORTE[[#This Row],[Lote]],PROYECCION[],5,FALSE),"")</f>
        <v/>
      </c>
      <c r="G116" s="42" t="str">
        <f>IFERROR(VLOOKUP(REPORTE[[#This Row],[Lote]],PROYECCION[],4,FALSE),"")</f>
        <v/>
      </c>
      <c r="H116" s="42" t="str">
        <f>IFERROR(VLOOKUP(REPORTE[[#This Row],[Lote]],PROYECCION[],6,FALSE),"")</f>
        <v/>
      </c>
      <c r="I116" s="96" t="s">
        <v>168</v>
      </c>
      <c r="J116" s="15">
        <f>SUM($S$106:$S$107)*REPORTE[[#This Row],[% Calibre]]</f>
        <v>719.99999999999852</v>
      </c>
      <c r="K116" s="44">
        <v>3.1290743155149903E-2</v>
      </c>
      <c r="L116" s="42"/>
      <c r="M116" s="47"/>
      <c r="N116" s="84">
        <v>45386</v>
      </c>
      <c r="O116" s="85"/>
      <c r="P116" s="48" t="str">
        <f t="shared" si="66"/>
        <v/>
      </c>
      <c r="Q116" s="56">
        <f t="shared" si="67"/>
        <v>0</v>
      </c>
      <c r="R116" s="86"/>
      <c r="S116" s="57">
        <f t="shared" si="68"/>
        <v>0</v>
      </c>
      <c r="T116" s="87"/>
      <c r="U116" s="58">
        <f t="shared" si="69"/>
        <v>0</v>
      </c>
      <c r="V116" s="87"/>
      <c r="W116" s="57">
        <f t="shared" si="70"/>
        <v>0</v>
      </c>
      <c r="X116" s="87"/>
      <c r="Y116" s="59"/>
      <c r="Z116" s="15">
        <f t="shared" si="71"/>
        <v>0</v>
      </c>
      <c r="AA116" s="15" t="str">
        <f t="shared" si="72"/>
        <v/>
      </c>
      <c r="AB116" s="69" t="str">
        <f>IFERROR(REPORTE[[#This Row],[Kg Exportados]]/REPORTE[[#This Row],[Ha]],"")</f>
        <v/>
      </c>
      <c r="AC116" s="65" t="str">
        <f>IFERROR(VLOOKUP(REPORTE[[#This Row],[Lote]],PROYECCION[],16,FALSE),"")</f>
        <v/>
      </c>
      <c r="AD116" s="66" t="s">
        <v>32</v>
      </c>
      <c r="AE116" s="2"/>
      <c r="AG116" s="2"/>
      <c r="AK116" s="2"/>
      <c r="AL116" s="2"/>
      <c r="AN116" s="2"/>
    </row>
    <row r="117" spans="1:40" ht="14.25" customHeight="1" x14ac:dyDescent="0.25">
      <c r="A117" s="42">
        <f t="shared" si="65"/>
        <v>14</v>
      </c>
      <c r="B117" s="42" t="str">
        <f>TEXT(REPORTE[[#This Row],[Fecha]],"MMMM")</f>
        <v>Abril</v>
      </c>
      <c r="C117" s="42" t="str">
        <f>IFERROR(VLOOKUP(REPORTE[[#This Row],[Lote]],PROYECCION[],3,FALSE),"")</f>
        <v/>
      </c>
      <c r="D117" s="47" t="str">
        <f>IFERROR(VLOOKUP(REPORTE[[#This Row],[Lote]],PROYECCION[],2,FALSE),"")</f>
        <v/>
      </c>
      <c r="E117" s="65"/>
      <c r="F117" s="53" t="str">
        <f>IFERROR(VLOOKUP(REPORTE[[#This Row],[Lote]],PROYECCION[],5,FALSE),"")</f>
        <v/>
      </c>
      <c r="G117" s="42" t="str">
        <f>IFERROR(VLOOKUP(REPORTE[[#This Row],[Lote]],PROYECCION[],4,FALSE),"")</f>
        <v/>
      </c>
      <c r="H117" s="42" t="str">
        <f>IFERROR(VLOOKUP(REPORTE[[#This Row],[Lote]],PROYECCION[],6,FALSE),"")</f>
        <v/>
      </c>
      <c r="I117" s="96" t="s">
        <v>169</v>
      </c>
      <c r="J117" s="15">
        <f>SUM($S$106:$S$107)*REPORTE[[#This Row],[% Calibre]]</f>
        <v>659.9999999999992</v>
      </c>
      <c r="K117" s="44">
        <v>2.8683181225554098E-2</v>
      </c>
      <c r="L117" s="42"/>
      <c r="M117" s="47"/>
      <c r="N117" s="84">
        <v>45386</v>
      </c>
      <c r="O117" s="85"/>
      <c r="P117" s="48" t="str">
        <f t="shared" si="66"/>
        <v/>
      </c>
      <c r="Q117" s="56">
        <f t="shared" si="67"/>
        <v>0</v>
      </c>
      <c r="R117" s="86"/>
      <c r="S117" s="57">
        <f t="shared" si="68"/>
        <v>0</v>
      </c>
      <c r="T117" s="87"/>
      <c r="U117" s="58">
        <f t="shared" si="69"/>
        <v>0</v>
      </c>
      <c r="V117" s="87"/>
      <c r="W117" s="57">
        <f t="shared" si="70"/>
        <v>0</v>
      </c>
      <c r="X117" s="87"/>
      <c r="Y117" s="59"/>
      <c r="Z117" s="15">
        <f t="shared" si="71"/>
        <v>0</v>
      </c>
      <c r="AA117" s="15" t="str">
        <f t="shared" si="72"/>
        <v/>
      </c>
      <c r="AB117" s="69" t="str">
        <f>IFERROR(REPORTE[[#This Row],[Kg Exportados]]/REPORTE[[#This Row],[Ha]],"")</f>
        <v/>
      </c>
      <c r="AC117" s="65" t="str">
        <f>IFERROR(VLOOKUP(REPORTE[[#This Row],[Lote]],PROYECCION[],16,FALSE),"")</f>
        <v/>
      </c>
      <c r="AD117" s="66" t="s">
        <v>32</v>
      </c>
      <c r="AE117" s="2"/>
      <c r="AG117" s="2"/>
      <c r="AK117" s="2"/>
      <c r="AL117" s="2"/>
      <c r="AN117" s="2"/>
    </row>
    <row r="118" spans="1:40" ht="14.25" customHeight="1" x14ac:dyDescent="0.25">
      <c r="A118" s="42">
        <f t="shared" si="65"/>
        <v>14</v>
      </c>
      <c r="B118" s="42" t="str">
        <f>TEXT(REPORTE[[#This Row],[Fecha]],"MMMM")</f>
        <v>Abril</v>
      </c>
      <c r="C118" s="42" t="str">
        <f>IFERROR(VLOOKUP(REPORTE[[#This Row],[Lote]],PROYECCION[],3,FALSE),"")</f>
        <v/>
      </c>
      <c r="D118" s="47" t="str">
        <f>IFERROR(VLOOKUP(REPORTE[[#This Row],[Lote]],PROYECCION[],2,FALSE),"")</f>
        <v/>
      </c>
      <c r="E118" s="65"/>
      <c r="F118" s="53" t="str">
        <f>IFERROR(VLOOKUP(REPORTE[[#This Row],[Lote]],PROYECCION[],5,FALSE),"")</f>
        <v/>
      </c>
      <c r="G118" s="42" t="str">
        <f>IFERROR(VLOOKUP(REPORTE[[#This Row],[Lote]],PROYECCION[],4,FALSE),"")</f>
        <v/>
      </c>
      <c r="H118" s="42" t="str">
        <f>IFERROR(VLOOKUP(REPORTE[[#This Row],[Lote]],PROYECCION[],6,FALSE),"")</f>
        <v/>
      </c>
      <c r="I118" s="96" t="s">
        <v>170</v>
      </c>
      <c r="J118" s="15">
        <f>SUM($S$106:$S$107)*REPORTE[[#This Row],[% Calibre]]</f>
        <v>310.00000000000023</v>
      </c>
      <c r="K118" s="44">
        <v>1.3472403302911801E-2</v>
      </c>
      <c r="L118" s="42"/>
      <c r="M118" s="47"/>
      <c r="N118" s="84">
        <v>45386</v>
      </c>
      <c r="O118" s="85"/>
      <c r="P118" s="48" t="str">
        <f t="shared" si="66"/>
        <v/>
      </c>
      <c r="Q118" s="56">
        <f t="shared" si="67"/>
        <v>0</v>
      </c>
      <c r="R118" s="86"/>
      <c r="S118" s="57">
        <f t="shared" si="68"/>
        <v>0</v>
      </c>
      <c r="T118" s="87"/>
      <c r="U118" s="58">
        <f t="shared" si="69"/>
        <v>0</v>
      </c>
      <c r="V118" s="87"/>
      <c r="W118" s="57">
        <f t="shared" si="70"/>
        <v>0</v>
      </c>
      <c r="X118" s="87"/>
      <c r="Y118" s="59"/>
      <c r="Z118" s="15">
        <f t="shared" si="71"/>
        <v>0</v>
      </c>
      <c r="AA118" s="15" t="str">
        <f t="shared" si="72"/>
        <v/>
      </c>
      <c r="AB118" s="69" t="str">
        <f>IFERROR(REPORTE[[#This Row],[Kg Exportados]]/REPORTE[[#This Row],[Ha]],"")</f>
        <v/>
      </c>
      <c r="AC118" s="65" t="str">
        <f>IFERROR(VLOOKUP(REPORTE[[#This Row],[Lote]],PROYECCION[],16,FALSE),"")</f>
        <v/>
      </c>
      <c r="AD118" s="66" t="s">
        <v>32</v>
      </c>
      <c r="AE118" s="2"/>
      <c r="AG118" s="2"/>
      <c r="AK118" s="2"/>
      <c r="AL118" s="2"/>
      <c r="AN118" s="2"/>
    </row>
    <row r="119" spans="1:40" ht="14.25" customHeight="1" x14ac:dyDescent="0.25">
      <c r="A119" s="42">
        <f t="shared" si="65"/>
        <v>14</v>
      </c>
      <c r="B119" s="42" t="str">
        <f>TEXT(REPORTE[[#This Row],[Fecha]],"MMMM")</f>
        <v>Abril</v>
      </c>
      <c r="C119" s="42" t="str">
        <f>IFERROR(VLOOKUP(REPORTE[[#This Row],[Lote]],PROYECCION[],3,FALSE),"")</f>
        <v/>
      </c>
      <c r="D119" s="47" t="str">
        <f>IFERROR(VLOOKUP(REPORTE[[#This Row],[Lote]],PROYECCION[],2,FALSE),"")</f>
        <v/>
      </c>
      <c r="E119" s="65"/>
      <c r="F119" s="53" t="str">
        <f>IFERROR(VLOOKUP(REPORTE[[#This Row],[Lote]],PROYECCION[],5,FALSE),"")</f>
        <v/>
      </c>
      <c r="G119" s="42" t="str">
        <f>IFERROR(VLOOKUP(REPORTE[[#This Row],[Lote]],PROYECCION[],4,FALSE),"")</f>
        <v/>
      </c>
      <c r="H119" s="42" t="str">
        <f>IFERROR(VLOOKUP(REPORTE[[#This Row],[Lote]],PROYECCION[],6,FALSE),"")</f>
        <v/>
      </c>
      <c r="I119" s="96" t="s">
        <v>171</v>
      </c>
      <c r="J119" s="15">
        <f>SUM($S$106:$S$107)*REPORTE[[#This Row],[% Calibre]]</f>
        <v>549.99999999999977</v>
      </c>
      <c r="K119" s="44">
        <v>2.3902651021295102E-2</v>
      </c>
      <c r="L119" s="42"/>
      <c r="M119" s="47"/>
      <c r="N119" s="84">
        <v>45386</v>
      </c>
      <c r="O119" s="85"/>
      <c r="P119" s="48" t="str">
        <f t="shared" si="66"/>
        <v/>
      </c>
      <c r="Q119" s="56">
        <f t="shared" si="67"/>
        <v>0</v>
      </c>
      <c r="R119" s="86"/>
      <c r="S119" s="57">
        <f t="shared" si="68"/>
        <v>0</v>
      </c>
      <c r="T119" s="87"/>
      <c r="U119" s="58">
        <f t="shared" si="69"/>
        <v>0</v>
      </c>
      <c r="V119" s="87"/>
      <c r="W119" s="57">
        <f t="shared" si="70"/>
        <v>0</v>
      </c>
      <c r="X119" s="87"/>
      <c r="Y119" s="59"/>
      <c r="Z119" s="15">
        <f t="shared" si="71"/>
        <v>0</v>
      </c>
      <c r="AA119" s="15" t="str">
        <f t="shared" si="72"/>
        <v/>
      </c>
      <c r="AB119" s="69" t="str">
        <f>IFERROR(REPORTE[[#This Row],[Kg Exportados]]/REPORTE[[#This Row],[Ha]],"")</f>
        <v/>
      </c>
      <c r="AC119" s="65" t="str">
        <f>IFERROR(VLOOKUP(REPORTE[[#This Row],[Lote]],PROYECCION[],16,FALSE),"")</f>
        <v/>
      </c>
      <c r="AD119" s="66" t="s">
        <v>32</v>
      </c>
      <c r="AE119" s="2"/>
      <c r="AG119" s="2"/>
      <c r="AK119" s="2"/>
      <c r="AL119" s="2"/>
      <c r="AN119" s="2"/>
    </row>
    <row r="120" spans="1:40" ht="14.25" customHeight="1" x14ac:dyDescent="0.25">
      <c r="A120" s="42">
        <f t="shared" si="65"/>
        <v>14</v>
      </c>
      <c r="B120" s="42" t="str">
        <f>TEXT(REPORTE[[#This Row],[Fecha]],"MMMM")</f>
        <v>Abril</v>
      </c>
      <c r="C120" s="42" t="str">
        <f>IFERROR(VLOOKUP(REPORTE[[#This Row],[Lote]],PROYECCION[],3,FALSE),"")</f>
        <v>Don Nico</v>
      </c>
      <c r="D120" s="47" t="str">
        <f>IFERROR(VLOOKUP(REPORTE[[#This Row],[Lote]],PROYECCION[],2,FALSE),"")</f>
        <v>Agricola Guili S.A.C</v>
      </c>
      <c r="E120" s="65" t="s">
        <v>47</v>
      </c>
      <c r="F120" s="53">
        <f>IFERROR(VLOOKUP(REPORTE[[#This Row],[Lote]],PROYECCION[],5,FALSE),"")</f>
        <v>9.7542016806722689</v>
      </c>
      <c r="G120" s="42" t="str">
        <f>IFERROR(VLOOKUP(REPORTE[[#This Row],[Lote]],PROYECCION[],4,FALSE),"")</f>
        <v>Hass</v>
      </c>
      <c r="H120" s="42" t="str">
        <f>IFERROR(VLOOKUP(REPORTE[[#This Row],[Lote]],PROYECCION[],6,FALSE),"")</f>
        <v>Negra</v>
      </c>
      <c r="I120" s="96"/>
      <c r="J120" s="15"/>
      <c r="K120" s="44"/>
      <c r="L120" s="42" t="s">
        <v>172</v>
      </c>
      <c r="M120" s="42" t="s">
        <v>173</v>
      </c>
      <c r="N120" s="84">
        <v>45387</v>
      </c>
      <c r="O120" s="85">
        <v>38</v>
      </c>
      <c r="P120" s="48">
        <f t="shared" si="66"/>
        <v>436.94921052631577</v>
      </c>
      <c r="Q120" s="56">
        <f t="shared" si="67"/>
        <v>1552.9191448686395</v>
      </c>
      <c r="R120" s="86">
        <v>16604.07</v>
      </c>
      <c r="S120" s="57">
        <f t="shared" si="68"/>
        <v>15529.191448686395</v>
      </c>
      <c r="T120" s="87">
        <v>0.935264152023353</v>
      </c>
      <c r="U120" s="58">
        <f t="shared" si="69"/>
        <v>484.37645297922199</v>
      </c>
      <c r="V120" s="87">
        <v>2.9172151947035999E-2</v>
      </c>
      <c r="W120" s="57">
        <f t="shared" si="70"/>
        <v>590.50209833438305</v>
      </c>
      <c r="X120" s="87">
        <v>3.5563696029611E-2</v>
      </c>
      <c r="Y120" s="59"/>
      <c r="Z120" s="15">
        <f t="shared" si="71"/>
        <v>16604.07</v>
      </c>
      <c r="AA120" s="15">
        <f t="shared" si="72"/>
        <v>1702.2479689855697</v>
      </c>
      <c r="AB120" s="69">
        <f>IFERROR(REPORTE[[#This Row],[Kg Exportados]]/REPORTE[[#This Row],[Ha]],"")</f>
        <v>1592.0515032467638</v>
      </c>
      <c r="AC120" s="65" t="str">
        <f>IFERROR(VLOOKUP(REPORTE[[#This Row],[Lote]],PROYECCION[],16,FALSE),"")</f>
        <v>Cosechando</v>
      </c>
      <c r="AD120" s="66" t="s">
        <v>72</v>
      </c>
      <c r="AE120" s="2"/>
      <c r="AG120" s="2"/>
      <c r="AK120" s="2"/>
      <c r="AL120" s="2"/>
      <c r="AN120" s="2"/>
    </row>
    <row r="121" spans="1:40" ht="14.25" customHeight="1" x14ac:dyDescent="0.25">
      <c r="A121" s="42">
        <f t="shared" si="65"/>
        <v>14</v>
      </c>
      <c r="B121" s="42" t="str">
        <f>TEXT(REPORTE[[#This Row],[Fecha]],"MMMM")</f>
        <v>Abril</v>
      </c>
      <c r="C121" s="42" t="str">
        <f>IFERROR(VLOOKUP(REPORTE[[#This Row],[Lote]],PROYECCION[],3,FALSE),"")</f>
        <v>Don Nico</v>
      </c>
      <c r="D121" s="47" t="str">
        <f>IFERROR(VLOOKUP(REPORTE[[#This Row],[Lote]],PROYECCION[],2,FALSE),"")</f>
        <v>Agricola Guili S.A.C</v>
      </c>
      <c r="E121" s="65" t="s">
        <v>45</v>
      </c>
      <c r="F121" s="53">
        <f>IFERROR(VLOOKUP(REPORTE[[#This Row],[Lote]],PROYECCION[],5,FALSE),"")</f>
        <v>11.756302521008404</v>
      </c>
      <c r="G121" s="42" t="str">
        <f>IFERROR(VLOOKUP(REPORTE[[#This Row],[Lote]],PROYECCION[],4,FALSE),"")</f>
        <v>Hass</v>
      </c>
      <c r="H121" s="42" t="str">
        <f>IFERROR(VLOOKUP(REPORTE[[#This Row],[Lote]],PROYECCION[],6,FALSE),"")</f>
        <v>Negra</v>
      </c>
      <c r="I121" s="96"/>
      <c r="J121" s="15"/>
      <c r="K121" s="44"/>
      <c r="L121" s="42" t="s">
        <v>172</v>
      </c>
      <c r="M121" s="42" t="s">
        <v>173</v>
      </c>
      <c r="N121" s="84">
        <v>45387</v>
      </c>
      <c r="O121" s="85">
        <v>21</v>
      </c>
      <c r="P121" s="48">
        <f t="shared" si="66"/>
        <v>436.94904761904763</v>
      </c>
      <c r="Q121" s="56">
        <f t="shared" si="67"/>
        <v>858.1918390475646</v>
      </c>
      <c r="R121" s="86">
        <v>9175.93</v>
      </c>
      <c r="S121" s="57">
        <f t="shared" si="68"/>
        <v>8581.9183904756464</v>
      </c>
      <c r="T121" s="87">
        <v>0.935264152023353</v>
      </c>
      <c r="U121" s="58">
        <f t="shared" si="69"/>
        <v>267.68162421536601</v>
      </c>
      <c r="V121" s="87">
        <v>2.9172151947035999E-2</v>
      </c>
      <c r="W121" s="57">
        <f t="shared" si="70"/>
        <v>326.32998530898846</v>
      </c>
      <c r="X121" s="87">
        <v>3.5563696029611E-2</v>
      </c>
      <c r="Y121" s="59"/>
      <c r="Z121" s="15">
        <f t="shared" si="71"/>
        <v>9175.93</v>
      </c>
      <c r="AA121" s="15">
        <f t="shared" si="72"/>
        <v>780.51155825589706</v>
      </c>
      <c r="AB121" s="69">
        <f>IFERROR(REPORTE[[#This Row],[Kg Exportados]]/REPORTE[[#This Row],[Ha]],"")</f>
        <v>729.98448067662753</v>
      </c>
      <c r="AC121" s="65" t="str">
        <f>IFERROR(VLOOKUP(REPORTE[[#This Row],[Lote]],PROYECCION[],16,FALSE),"")</f>
        <v>Cosechando</v>
      </c>
      <c r="AD121" s="66" t="s">
        <v>72</v>
      </c>
      <c r="AE121" s="2"/>
      <c r="AG121" s="2"/>
      <c r="AK121" s="2"/>
      <c r="AL121" s="2"/>
      <c r="AN121" s="2"/>
    </row>
    <row r="122" spans="1:40" ht="14.25" customHeight="1" x14ac:dyDescent="0.25">
      <c r="A122" s="42">
        <f t="shared" si="65"/>
        <v>14</v>
      </c>
      <c r="B122" s="42" t="str">
        <f>TEXT(REPORTE[[#This Row],[Fecha]],"MMMM")</f>
        <v>Abril</v>
      </c>
      <c r="C122" s="42" t="str">
        <f>IFERROR(VLOOKUP(REPORTE[[#This Row],[Lote]],PROYECCION[],3,FALSE),"")</f>
        <v>El Marsano</v>
      </c>
      <c r="D122" s="47" t="str">
        <f>IFERROR(VLOOKUP(REPORTE[[#This Row],[Lote]],PROYECCION[],2,FALSE),"")</f>
        <v>Agricola Guili S.A.C</v>
      </c>
      <c r="E122" s="65" t="s">
        <v>17</v>
      </c>
      <c r="F122" s="53">
        <f>IFERROR(VLOOKUP(REPORTE[[#This Row],[Lote]],PROYECCION[],5,FALSE),"")</f>
        <v>26.08</v>
      </c>
      <c r="G122" s="42" t="str">
        <f>IFERROR(VLOOKUP(REPORTE[[#This Row],[Lote]],PROYECCION[],4,FALSE),"")</f>
        <v>Hass</v>
      </c>
      <c r="H122" s="42" t="str">
        <f>IFERROR(VLOOKUP(REPORTE[[#This Row],[Lote]],PROYECCION[],6,FALSE),"")</f>
        <v>Negra</v>
      </c>
      <c r="I122" s="96"/>
      <c r="J122" s="15"/>
      <c r="K122" s="44"/>
      <c r="L122" s="42" t="s">
        <v>174</v>
      </c>
      <c r="M122" s="42" t="s">
        <v>173</v>
      </c>
      <c r="N122" s="84">
        <v>45387</v>
      </c>
      <c r="O122" s="85">
        <v>1</v>
      </c>
      <c r="P122" s="48">
        <f t="shared" si="66"/>
        <v>426.5</v>
      </c>
      <c r="Q122" s="56">
        <f t="shared" si="67"/>
        <v>39.889016083796008</v>
      </c>
      <c r="R122" s="86">
        <v>426.5</v>
      </c>
      <c r="S122" s="57">
        <f t="shared" si="68"/>
        <v>398.89016083796008</v>
      </c>
      <c r="T122" s="87">
        <v>0.935264152023353</v>
      </c>
      <c r="U122" s="58">
        <f t="shared" si="69"/>
        <v>12.441922805410853</v>
      </c>
      <c r="V122" s="87">
        <v>2.9172151947035999E-2</v>
      </c>
      <c r="W122" s="57">
        <f t="shared" si="70"/>
        <v>15.167916356629091</v>
      </c>
      <c r="X122" s="87">
        <v>3.5563696029611E-2</v>
      </c>
      <c r="Y122" s="59"/>
      <c r="Z122" s="15">
        <f t="shared" si="71"/>
        <v>426.5</v>
      </c>
      <c r="AA122" s="15">
        <f t="shared" si="72"/>
        <v>16.353527607361965</v>
      </c>
      <c r="AB122" s="69">
        <f>IFERROR(REPORTE[[#This Row],[Kg Exportados]]/REPORTE[[#This Row],[Ha]],"")</f>
        <v>15.294868130289881</v>
      </c>
      <c r="AC122" s="65" t="str">
        <f>IFERROR(VLOOKUP(REPORTE[[#This Row],[Lote]],PROYECCION[],16,FALSE),"")</f>
        <v>Cosechando</v>
      </c>
      <c r="AD122" s="66" t="s">
        <v>72</v>
      </c>
      <c r="AE122" s="2"/>
      <c r="AG122" s="2"/>
      <c r="AK122" s="2"/>
      <c r="AL122" s="2"/>
      <c r="AN122" s="2"/>
    </row>
    <row r="123" spans="1:40" ht="14.25" customHeight="1" x14ac:dyDescent="0.25">
      <c r="A123" s="42">
        <f t="shared" si="65"/>
        <v>14</v>
      </c>
      <c r="B123" s="42" t="str">
        <f>TEXT(REPORTE[[#This Row],[Fecha]],"MMMM")</f>
        <v>Abril</v>
      </c>
      <c r="C123" s="42" t="str">
        <f>IFERROR(VLOOKUP(REPORTE[[#This Row],[Lote]],PROYECCION[],3,FALSE),"")</f>
        <v/>
      </c>
      <c r="D123" s="47" t="str">
        <f>IFERROR(VLOOKUP(REPORTE[[#This Row],[Lote]],PROYECCION[],2,FALSE),"")</f>
        <v/>
      </c>
      <c r="E123" s="65"/>
      <c r="F123" s="53" t="str">
        <f>IFERROR(VLOOKUP(REPORTE[[#This Row],[Lote]],PROYECCION[],5,FALSE),"")</f>
        <v/>
      </c>
      <c r="G123" s="42" t="str">
        <f>IFERROR(VLOOKUP(REPORTE[[#This Row],[Lote]],PROYECCION[],4,FALSE),"")</f>
        <v/>
      </c>
      <c r="H123" s="42" t="str">
        <f>IFERROR(VLOOKUP(REPORTE[[#This Row],[Lote]],PROYECCION[],6,FALSE),"")</f>
        <v/>
      </c>
      <c r="I123" s="96" t="s">
        <v>162</v>
      </c>
      <c r="J123" s="15">
        <f>SUM($S$120:$S$122)*REPORTE[[#This Row],[% Calibre]]</f>
        <v>9.9999999999999805</v>
      </c>
      <c r="K123" s="94">
        <v>4.0799673602611098E-4</v>
      </c>
      <c r="L123" s="42"/>
      <c r="M123" s="47"/>
      <c r="N123" s="84">
        <v>45387</v>
      </c>
      <c r="O123" s="85"/>
      <c r="P123" s="48" t="str">
        <f t="shared" si="66"/>
        <v/>
      </c>
      <c r="Q123" s="56">
        <f t="shared" si="67"/>
        <v>0</v>
      </c>
      <c r="R123" s="86"/>
      <c r="S123" s="57">
        <f t="shared" si="68"/>
        <v>0</v>
      </c>
      <c r="T123" s="87"/>
      <c r="U123" s="58">
        <f t="shared" si="69"/>
        <v>0</v>
      </c>
      <c r="V123" s="87"/>
      <c r="W123" s="57">
        <f t="shared" si="70"/>
        <v>0</v>
      </c>
      <c r="X123" s="87"/>
      <c r="Y123" s="59"/>
      <c r="Z123" s="15">
        <f t="shared" si="71"/>
        <v>0</v>
      </c>
      <c r="AA123" s="15" t="str">
        <f t="shared" si="72"/>
        <v/>
      </c>
      <c r="AB123" s="69" t="str">
        <f>IFERROR(REPORTE[[#This Row],[Kg Exportados]]/REPORTE[[#This Row],[Ha]],"")</f>
        <v/>
      </c>
      <c r="AC123" s="65" t="str">
        <f>IFERROR(VLOOKUP(REPORTE[[#This Row],[Lote]],PROYECCION[],16,FALSE),"")</f>
        <v/>
      </c>
      <c r="AD123" s="66" t="s">
        <v>72</v>
      </c>
      <c r="AE123" s="2"/>
      <c r="AG123" s="2"/>
      <c r="AK123" s="2"/>
      <c r="AL123" s="2"/>
      <c r="AN123" s="2"/>
    </row>
    <row r="124" spans="1:40" ht="14.25" customHeight="1" x14ac:dyDescent="0.25">
      <c r="A124" s="42">
        <f t="shared" si="65"/>
        <v>14</v>
      </c>
      <c r="B124" s="42" t="str">
        <f>TEXT(REPORTE[[#This Row],[Fecha]],"MMMM")</f>
        <v>Abril</v>
      </c>
      <c r="C124" s="42" t="str">
        <f>IFERROR(VLOOKUP(REPORTE[[#This Row],[Lote]],PROYECCION[],3,FALSE),"")</f>
        <v/>
      </c>
      <c r="D124" s="47" t="str">
        <f>IFERROR(VLOOKUP(REPORTE[[#This Row],[Lote]],PROYECCION[],2,FALSE),"")</f>
        <v/>
      </c>
      <c r="E124" s="65"/>
      <c r="F124" s="53" t="str">
        <f>IFERROR(VLOOKUP(REPORTE[[#This Row],[Lote]],PROYECCION[],5,FALSE),"")</f>
        <v/>
      </c>
      <c r="G124" s="42" t="str">
        <f>IFERROR(VLOOKUP(REPORTE[[#This Row],[Lote]],PROYECCION[],4,FALSE),"")</f>
        <v/>
      </c>
      <c r="H124" s="42" t="str">
        <f>IFERROR(VLOOKUP(REPORTE[[#This Row],[Lote]],PROYECCION[],6,FALSE),"")</f>
        <v/>
      </c>
      <c r="I124" s="96" t="s">
        <v>153</v>
      </c>
      <c r="J124" s="15">
        <f>SUM($S$120:$S$122)*REPORTE[[#This Row],[% Calibre]]</f>
        <v>779.99999999999955</v>
      </c>
      <c r="K124" s="44">
        <v>3.18237454100367E-2</v>
      </c>
      <c r="L124" s="42"/>
      <c r="M124" s="47"/>
      <c r="N124" s="84">
        <v>45387</v>
      </c>
      <c r="O124" s="85"/>
      <c r="P124" s="48" t="str">
        <f t="shared" si="66"/>
        <v/>
      </c>
      <c r="Q124" s="56">
        <f t="shared" si="67"/>
        <v>0</v>
      </c>
      <c r="R124" s="86"/>
      <c r="S124" s="57">
        <f t="shared" si="68"/>
        <v>0</v>
      </c>
      <c r="T124" s="87"/>
      <c r="U124" s="58">
        <f t="shared" si="69"/>
        <v>0</v>
      </c>
      <c r="V124" s="87"/>
      <c r="W124" s="57">
        <f t="shared" si="70"/>
        <v>0</v>
      </c>
      <c r="X124" s="87"/>
      <c r="Y124" s="59"/>
      <c r="Z124" s="15">
        <f t="shared" si="71"/>
        <v>0</v>
      </c>
      <c r="AA124" s="15" t="str">
        <f t="shared" si="72"/>
        <v/>
      </c>
      <c r="AB124" s="69" t="str">
        <f>IFERROR(REPORTE[[#This Row],[Kg Exportados]]/REPORTE[[#This Row],[Ha]],"")</f>
        <v/>
      </c>
      <c r="AC124" s="65" t="str">
        <f>IFERROR(VLOOKUP(REPORTE[[#This Row],[Lote]],PROYECCION[],16,FALSE),"")</f>
        <v/>
      </c>
      <c r="AD124" s="66" t="s">
        <v>72</v>
      </c>
      <c r="AE124" s="2"/>
      <c r="AG124" s="2"/>
      <c r="AK124" s="2"/>
      <c r="AL124" s="2"/>
      <c r="AN124" s="2"/>
    </row>
    <row r="125" spans="1:40" ht="14.25" customHeight="1" x14ac:dyDescent="0.25">
      <c r="A125" s="42">
        <f t="shared" si="65"/>
        <v>14</v>
      </c>
      <c r="B125" s="42" t="str">
        <f>TEXT(REPORTE[[#This Row],[Fecha]],"MMMM")</f>
        <v>Abril</v>
      </c>
      <c r="C125" s="42" t="str">
        <f>IFERROR(VLOOKUP(REPORTE[[#This Row],[Lote]],PROYECCION[],3,FALSE),"")</f>
        <v/>
      </c>
      <c r="D125" s="47" t="str">
        <f>IFERROR(VLOOKUP(REPORTE[[#This Row],[Lote]],PROYECCION[],2,FALSE),"")</f>
        <v/>
      </c>
      <c r="E125" s="65"/>
      <c r="F125" s="53" t="str">
        <f>IFERROR(VLOOKUP(REPORTE[[#This Row],[Lote]],PROYECCION[],5,FALSE),"")</f>
        <v/>
      </c>
      <c r="G125" s="42" t="str">
        <f>IFERROR(VLOOKUP(REPORTE[[#This Row],[Lote]],PROYECCION[],4,FALSE),"")</f>
        <v/>
      </c>
      <c r="H125" s="42" t="str">
        <f>IFERROR(VLOOKUP(REPORTE[[#This Row],[Lote]],PROYECCION[],6,FALSE),"")</f>
        <v/>
      </c>
      <c r="I125" s="96" t="s">
        <v>163</v>
      </c>
      <c r="J125" s="15">
        <f>SUM($S$120:$S$122)*REPORTE[[#This Row],[% Calibre]]</f>
        <v>279.99999999999926</v>
      </c>
      <c r="K125" s="44">
        <v>1.14239086087311E-2</v>
      </c>
      <c r="L125" s="42"/>
      <c r="M125" s="47"/>
      <c r="N125" s="84">
        <v>45387</v>
      </c>
      <c r="O125" s="85"/>
      <c r="P125" s="48" t="str">
        <f t="shared" si="66"/>
        <v/>
      </c>
      <c r="Q125" s="56">
        <f t="shared" si="67"/>
        <v>0</v>
      </c>
      <c r="R125" s="86"/>
      <c r="S125" s="57">
        <f t="shared" si="68"/>
        <v>0</v>
      </c>
      <c r="T125" s="87"/>
      <c r="U125" s="58">
        <f t="shared" si="69"/>
        <v>0</v>
      </c>
      <c r="V125" s="87"/>
      <c r="W125" s="57">
        <f t="shared" si="70"/>
        <v>0</v>
      </c>
      <c r="X125" s="87"/>
      <c r="Y125" s="59"/>
      <c r="Z125" s="15">
        <f t="shared" si="71"/>
        <v>0</v>
      </c>
      <c r="AA125" s="15" t="str">
        <f t="shared" si="72"/>
        <v/>
      </c>
      <c r="AB125" s="69" t="str">
        <f>IFERROR(REPORTE[[#This Row],[Kg Exportados]]/REPORTE[[#This Row],[Ha]],"")</f>
        <v/>
      </c>
      <c r="AC125" s="65" t="str">
        <f>IFERROR(VLOOKUP(REPORTE[[#This Row],[Lote]],PROYECCION[],16,FALSE),"")</f>
        <v/>
      </c>
      <c r="AD125" s="66" t="s">
        <v>72</v>
      </c>
      <c r="AE125" s="2"/>
      <c r="AG125" s="2"/>
      <c r="AK125" s="2"/>
      <c r="AL125" s="2"/>
      <c r="AN125" s="2"/>
    </row>
    <row r="126" spans="1:40" ht="14.25" customHeight="1" x14ac:dyDescent="0.25">
      <c r="A126" s="42">
        <f t="shared" si="65"/>
        <v>14</v>
      </c>
      <c r="B126" s="42" t="str">
        <f>TEXT(REPORTE[[#This Row],[Fecha]],"MMMM")</f>
        <v>Abril</v>
      </c>
      <c r="C126" s="42" t="str">
        <f>IFERROR(VLOOKUP(REPORTE[[#This Row],[Lote]],PROYECCION[],3,FALSE),"")</f>
        <v/>
      </c>
      <c r="D126" s="47" t="str">
        <f>IFERROR(VLOOKUP(REPORTE[[#This Row],[Lote]],PROYECCION[],2,FALSE),"")</f>
        <v/>
      </c>
      <c r="E126" s="65"/>
      <c r="F126" s="53" t="str">
        <f>IFERROR(VLOOKUP(REPORTE[[#This Row],[Lote]],PROYECCION[],5,FALSE),"")</f>
        <v/>
      </c>
      <c r="G126" s="42" t="str">
        <f>IFERROR(VLOOKUP(REPORTE[[#This Row],[Lote]],PROYECCION[],4,FALSE),"")</f>
        <v/>
      </c>
      <c r="H126" s="42" t="str">
        <f>IFERROR(VLOOKUP(REPORTE[[#This Row],[Lote]],PROYECCION[],6,FALSE),"")</f>
        <v/>
      </c>
      <c r="I126" s="96" t="s">
        <v>164</v>
      </c>
      <c r="J126" s="15">
        <f>SUM($S$120:$S$122)*REPORTE[[#This Row],[% Calibre]]</f>
        <v>1500.0000000000009</v>
      </c>
      <c r="K126" s="44">
        <v>6.1199510403916801E-2</v>
      </c>
      <c r="L126" s="42"/>
      <c r="M126" s="47"/>
      <c r="N126" s="84">
        <v>45387</v>
      </c>
      <c r="O126" s="85"/>
      <c r="P126" s="48" t="str">
        <f t="shared" si="66"/>
        <v/>
      </c>
      <c r="Q126" s="56">
        <f t="shared" si="67"/>
        <v>0</v>
      </c>
      <c r="R126" s="86"/>
      <c r="S126" s="57">
        <f t="shared" si="68"/>
        <v>0</v>
      </c>
      <c r="T126" s="87"/>
      <c r="U126" s="58">
        <f t="shared" si="69"/>
        <v>0</v>
      </c>
      <c r="V126" s="87"/>
      <c r="W126" s="57">
        <f t="shared" si="70"/>
        <v>0</v>
      </c>
      <c r="X126" s="87"/>
      <c r="Y126" s="59"/>
      <c r="Z126" s="15">
        <f t="shared" si="71"/>
        <v>0</v>
      </c>
      <c r="AA126" s="15" t="str">
        <f t="shared" si="72"/>
        <v/>
      </c>
      <c r="AB126" s="69" t="str">
        <f>IFERROR(REPORTE[[#This Row],[Kg Exportados]]/REPORTE[[#This Row],[Ha]],"")</f>
        <v/>
      </c>
      <c r="AC126" s="65" t="str">
        <f>IFERROR(VLOOKUP(REPORTE[[#This Row],[Lote]],PROYECCION[],16,FALSE),"")</f>
        <v/>
      </c>
      <c r="AD126" s="66" t="s">
        <v>72</v>
      </c>
      <c r="AE126" s="2"/>
      <c r="AG126" s="2"/>
      <c r="AK126" s="2"/>
      <c r="AL126" s="2"/>
      <c r="AN126" s="2"/>
    </row>
    <row r="127" spans="1:40" ht="14.25" customHeight="1" x14ac:dyDescent="0.25">
      <c r="A127" s="42">
        <f t="shared" si="65"/>
        <v>14</v>
      </c>
      <c r="B127" s="42" t="str">
        <f>TEXT(REPORTE[[#This Row],[Fecha]],"MMMM")</f>
        <v>Abril</v>
      </c>
      <c r="C127" s="42" t="str">
        <f>IFERROR(VLOOKUP(REPORTE[[#This Row],[Lote]],PROYECCION[],3,FALSE),"")</f>
        <v/>
      </c>
      <c r="D127" s="47" t="str">
        <f>IFERROR(VLOOKUP(REPORTE[[#This Row],[Lote]],PROYECCION[],2,FALSE),"")</f>
        <v/>
      </c>
      <c r="E127" s="65"/>
      <c r="F127" s="53" t="str">
        <f>IFERROR(VLOOKUP(REPORTE[[#This Row],[Lote]],PROYECCION[],5,FALSE),"")</f>
        <v/>
      </c>
      <c r="G127" s="42" t="str">
        <f>IFERROR(VLOOKUP(REPORTE[[#This Row],[Lote]],PROYECCION[],4,FALSE),"")</f>
        <v/>
      </c>
      <c r="H127" s="42" t="str">
        <f>IFERROR(VLOOKUP(REPORTE[[#This Row],[Lote]],PROYECCION[],6,FALSE),"")</f>
        <v/>
      </c>
      <c r="I127" s="96" t="s">
        <v>154</v>
      </c>
      <c r="J127" s="15">
        <f>SUM($S$120:$S$122)*REPORTE[[#This Row],[% Calibre]]</f>
        <v>3139.9999999999973</v>
      </c>
      <c r="K127" s="44">
        <v>0.12811097511219899</v>
      </c>
      <c r="L127" s="42"/>
      <c r="M127" s="47"/>
      <c r="N127" s="84">
        <v>45387</v>
      </c>
      <c r="O127" s="85"/>
      <c r="P127" s="48" t="str">
        <f t="shared" si="66"/>
        <v/>
      </c>
      <c r="Q127" s="56">
        <f t="shared" si="67"/>
        <v>0</v>
      </c>
      <c r="R127" s="86"/>
      <c r="S127" s="57">
        <f t="shared" si="68"/>
        <v>0</v>
      </c>
      <c r="T127" s="87"/>
      <c r="U127" s="58">
        <f t="shared" si="69"/>
        <v>0</v>
      </c>
      <c r="V127" s="87"/>
      <c r="W127" s="57">
        <f t="shared" si="70"/>
        <v>0</v>
      </c>
      <c r="X127" s="87"/>
      <c r="Y127" s="59"/>
      <c r="Z127" s="15">
        <f t="shared" si="71"/>
        <v>0</v>
      </c>
      <c r="AA127" s="15" t="str">
        <f t="shared" si="72"/>
        <v/>
      </c>
      <c r="AB127" s="69" t="str">
        <f>IFERROR(REPORTE[[#This Row],[Kg Exportados]]/REPORTE[[#This Row],[Ha]],"")</f>
        <v/>
      </c>
      <c r="AC127" s="65" t="str">
        <f>IFERROR(VLOOKUP(REPORTE[[#This Row],[Lote]],PROYECCION[],16,FALSE),"")</f>
        <v/>
      </c>
      <c r="AD127" s="66" t="s">
        <v>72</v>
      </c>
      <c r="AE127" s="2"/>
      <c r="AG127" s="2"/>
      <c r="AK127" s="2"/>
      <c r="AL127" s="2"/>
      <c r="AN127" s="2"/>
    </row>
    <row r="128" spans="1:40" ht="14.25" customHeight="1" x14ac:dyDescent="0.25">
      <c r="A128" s="42">
        <f t="shared" si="65"/>
        <v>14</v>
      </c>
      <c r="B128" s="42" t="str">
        <f>TEXT(REPORTE[[#This Row],[Fecha]],"MMMM")</f>
        <v>Abril</v>
      </c>
      <c r="C128" s="42" t="str">
        <f>IFERROR(VLOOKUP(REPORTE[[#This Row],[Lote]],PROYECCION[],3,FALSE),"")</f>
        <v/>
      </c>
      <c r="D128" s="47" t="str">
        <f>IFERROR(VLOOKUP(REPORTE[[#This Row],[Lote]],PROYECCION[],2,FALSE),"")</f>
        <v/>
      </c>
      <c r="E128" s="65"/>
      <c r="F128" s="53" t="str">
        <f>IFERROR(VLOOKUP(REPORTE[[#This Row],[Lote]],PROYECCION[],5,FALSE),"")</f>
        <v/>
      </c>
      <c r="G128" s="42" t="str">
        <f>IFERROR(VLOOKUP(REPORTE[[#This Row],[Lote]],PROYECCION[],4,FALSE),"")</f>
        <v/>
      </c>
      <c r="H128" s="42" t="str">
        <f>IFERROR(VLOOKUP(REPORTE[[#This Row],[Lote]],PROYECCION[],6,FALSE),"")</f>
        <v/>
      </c>
      <c r="I128" s="96" t="s">
        <v>155</v>
      </c>
      <c r="J128" s="15">
        <f>SUM($S$120:$S$122)*REPORTE[[#This Row],[% Calibre]]</f>
        <v>4290.0000000000009</v>
      </c>
      <c r="K128" s="44">
        <v>0.17503059975520199</v>
      </c>
      <c r="L128" s="42"/>
      <c r="M128" s="47"/>
      <c r="N128" s="84">
        <v>45387</v>
      </c>
      <c r="O128" s="85"/>
      <c r="P128" s="48" t="str">
        <f t="shared" si="66"/>
        <v/>
      </c>
      <c r="Q128" s="56">
        <f t="shared" si="67"/>
        <v>0</v>
      </c>
      <c r="R128" s="86"/>
      <c r="S128" s="57">
        <f t="shared" si="68"/>
        <v>0</v>
      </c>
      <c r="T128" s="87"/>
      <c r="U128" s="58">
        <f t="shared" si="69"/>
        <v>0</v>
      </c>
      <c r="V128" s="87"/>
      <c r="W128" s="57">
        <f t="shared" si="70"/>
        <v>0</v>
      </c>
      <c r="X128" s="87"/>
      <c r="Y128" s="59"/>
      <c r="Z128" s="15">
        <f t="shared" si="71"/>
        <v>0</v>
      </c>
      <c r="AA128" s="15" t="str">
        <f t="shared" si="72"/>
        <v/>
      </c>
      <c r="AB128" s="69" t="str">
        <f>IFERROR(REPORTE[[#This Row],[Kg Exportados]]/REPORTE[[#This Row],[Ha]],"")</f>
        <v/>
      </c>
      <c r="AC128" s="65" t="str">
        <f>IFERROR(VLOOKUP(REPORTE[[#This Row],[Lote]],PROYECCION[],16,FALSE),"")</f>
        <v/>
      </c>
      <c r="AD128" s="66" t="s">
        <v>72</v>
      </c>
      <c r="AE128" s="2"/>
      <c r="AG128" s="2"/>
      <c r="AK128" s="2"/>
      <c r="AL128" s="2"/>
      <c r="AN128" s="2"/>
    </row>
    <row r="129" spans="1:40" ht="14.25" customHeight="1" x14ac:dyDescent="0.25">
      <c r="A129" s="42">
        <f t="shared" si="65"/>
        <v>14</v>
      </c>
      <c r="B129" s="42" t="str">
        <f>TEXT(REPORTE[[#This Row],[Fecha]],"MMMM")</f>
        <v>Abril</v>
      </c>
      <c r="C129" s="42" t="str">
        <f>IFERROR(VLOOKUP(REPORTE[[#This Row],[Lote]],PROYECCION[],3,FALSE),"")</f>
        <v/>
      </c>
      <c r="D129" s="47" t="str">
        <f>IFERROR(VLOOKUP(REPORTE[[#This Row],[Lote]],PROYECCION[],2,FALSE),"")</f>
        <v/>
      </c>
      <c r="E129" s="65"/>
      <c r="F129" s="53" t="str">
        <f>IFERROR(VLOOKUP(REPORTE[[#This Row],[Lote]],PROYECCION[],5,FALSE),"")</f>
        <v/>
      </c>
      <c r="G129" s="42" t="str">
        <f>IFERROR(VLOOKUP(REPORTE[[#This Row],[Lote]],PROYECCION[],4,FALSE),"")</f>
        <v/>
      </c>
      <c r="H129" s="42" t="str">
        <f>IFERROR(VLOOKUP(REPORTE[[#This Row],[Lote]],PROYECCION[],6,FALSE),"")</f>
        <v/>
      </c>
      <c r="I129" s="96" t="s">
        <v>165</v>
      </c>
      <c r="J129" s="15">
        <f>SUM($S$120:$S$122)*REPORTE[[#This Row],[% Calibre]]</f>
        <v>3969.9999999999909</v>
      </c>
      <c r="K129" s="44">
        <v>0.16197470420236601</v>
      </c>
      <c r="L129" s="42"/>
      <c r="M129" s="47"/>
      <c r="N129" s="84">
        <v>45387</v>
      </c>
      <c r="O129" s="85"/>
      <c r="P129" s="48" t="str">
        <f t="shared" si="66"/>
        <v/>
      </c>
      <c r="Q129" s="56">
        <f t="shared" si="67"/>
        <v>0</v>
      </c>
      <c r="R129" s="86"/>
      <c r="S129" s="57">
        <f t="shared" si="68"/>
        <v>0</v>
      </c>
      <c r="T129" s="87"/>
      <c r="U129" s="58">
        <f t="shared" si="69"/>
        <v>0</v>
      </c>
      <c r="V129" s="87"/>
      <c r="W129" s="57">
        <f t="shared" si="70"/>
        <v>0</v>
      </c>
      <c r="X129" s="87"/>
      <c r="Y129" s="59"/>
      <c r="Z129" s="15">
        <f t="shared" si="71"/>
        <v>0</v>
      </c>
      <c r="AA129" s="15" t="str">
        <f t="shared" si="72"/>
        <v/>
      </c>
      <c r="AB129" s="69" t="str">
        <f>IFERROR(REPORTE[[#This Row],[Kg Exportados]]/REPORTE[[#This Row],[Ha]],"")</f>
        <v/>
      </c>
      <c r="AC129" s="65" t="str">
        <f>IFERROR(VLOOKUP(REPORTE[[#This Row],[Lote]],PROYECCION[],16,FALSE),"")</f>
        <v/>
      </c>
      <c r="AD129" s="66" t="s">
        <v>72</v>
      </c>
      <c r="AE129" s="2"/>
      <c r="AG129" s="2"/>
      <c r="AK129" s="2"/>
      <c r="AL129" s="2"/>
      <c r="AN129" s="2"/>
    </row>
    <row r="130" spans="1:40" ht="14.25" customHeight="1" x14ac:dyDescent="0.25">
      <c r="A130" s="42">
        <f t="shared" si="65"/>
        <v>14</v>
      </c>
      <c r="B130" s="42" t="str">
        <f>TEXT(REPORTE[[#This Row],[Fecha]],"MMMM")</f>
        <v>Abril</v>
      </c>
      <c r="C130" s="42" t="str">
        <f>IFERROR(VLOOKUP(REPORTE[[#This Row],[Lote]],PROYECCION[],3,FALSE),"")</f>
        <v/>
      </c>
      <c r="D130" s="47" t="str">
        <f>IFERROR(VLOOKUP(REPORTE[[#This Row],[Lote]],PROYECCION[],2,FALSE),"")</f>
        <v/>
      </c>
      <c r="E130" s="65"/>
      <c r="F130" s="53" t="str">
        <f>IFERROR(VLOOKUP(REPORTE[[#This Row],[Lote]],PROYECCION[],5,FALSE),"")</f>
        <v/>
      </c>
      <c r="G130" s="42" t="str">
        <f>IFERROR(VLOOKUP(REPORTE[[#This Row],[Lote]],PROYECCION[],4,FALSE),"")</f>
        <v/>
      </c>
      <c r="H130" s="42" t="str">
        <f>IFERROR(VLOOKUP(REPORTE[[#This Row],[Lote]],PROYECCION[],6,FALSE),"")</f>
        <v/>
      </c>
      <c r="I130" s="96" t="s">
        <v>166</v>
      </c>
      <c r="J130" s="15">
        <f>SUM($S$120:$S$122)*REPORTE[[#This Row],[% Calibre]]</f>
        <v>3699.9999999999914</v>
      </c>
      <c r="K130" s="44">
        <v>0.150958792329661</v>
      </c>
      <c r="L130" s="42"/>
      <c r="M130" s="47"/>
      <c r="N130" s="84">
        <v>45387</v>
      </c>
      <c r="O130" s="85"/>
      <c r="P130" s="48" t="str">
        <f t="shared" si="66"/>
        <v/>
      </c>
      <c r="Q130" s="56">
        <f t="shared" si="67"/>
        <v>0</v>
      </c>
      <c r="R130" s="86"/>
      <c r="S130" s="57">
        <f t="shared" si="68"/>
        <v>0</v>
      </c>
      <c r="T130" s="87"/>
      <c r="U130" s="58">
        <f t="shared" si="69"/>
        <v>0</v>
      </c>
      <c r="V130" s="87"/>
      <c r="W130" s="57">
        <f t="shared" si="70"/>
        <v>0</v>
      </c>
      <c r="X130" s="87"/>
      <c r="Y130" s="59"/>
      <c r="Z130" s="15">
        <f t="shared" si="71"/>
        <v>0</v>
      </c>
      <c r="AA130" s="15" t="str">
        <f t="shared" si="72"/>
        <v/>
      </c>
      <c r="AB130" s="69" t="str">
        <f>IFERROR(REPORTE[[#This Row],[Kg Exportados]]/REPORTE[[#This Row],[Ha]],"")</f>
        <v/>
      </c>
      <c r="AC130" s="65" t="str">
        <f>IFERROR(VLOOKUP(REPORTE[[#This Row],[Lote]],PROYECCION[],16,FALSE),"")</f>
        <v/>
      </c>
      <c r="AD130" s="66" t="s">
        <v>72</v>
      </c>
      <c r="AE130" s="2"/>
      <c r="AG130" s="2"/>
      <c r="AK130" s="2"/>
      <c r="AL130" s="2"/>
      <c r="AN130" s="2"/>
    </row>
    <row r="131" spans="1:40" ht="14.25" customHeight="1" x14ac:dyDescent="0.25">
      <c r="A131" s="42">
        <f t="shared" si="65"/>
        <v>14</v>
      </c>
      <c r="B131" s="42" t="str">
        <f>TEXT(REPORTE[[#This Row],[Fecha]],"MMMM")</f>
        <v>Abril</v>
      </c>
      <c r="C131" s="42" t="str">
        <f>IFERROR(VLOOKUP(REPORTE[[#This Row],[Lote]],PROYECCION[],3,FALSE),"")</f>
        <v/>
      </c>
      <c r="D131" s="47" t="str">
        <f>IFERROR(VLOOKUP(REPORTE[[#This Row],[Lote]],PROYECCION[],2,FALSE),"")</f>
        <v/>
      </c>
      <c r="E131" s="65"/>
      <c r="F131" s="53" t="str">
        <f>IFERROR(VLOOKUP(REPORTE[[#This Row],[Lote]],PROYECCION[],5,FALSE),"")</f>
        <v/>
      </c>
      <c r="G131" s="42" t="str">
        <f>IFERROR(VLOOKUP(REPORTE[[#This Row],[Lote]],PROYECCION[],4,FALSE),"")</f>
        <v/>
      </c>
      <c r="H131" s="42" t="str">
        <f>IFERROR(VLOOKUP(REPORTE[[#This Row],[Lote]],PROYECCION[],6,FALSE),"")</f>
        <v/>
      </c>
      <c r="I131" s="96" t="s">
        <v>159</v>
      </c>
      <c r="J131" s="15">
        <f>SUM($S$120:$S$122)*REPORTE[[#This Row],[% Calibre]]</f>
        <v>459.99999999999898</v>
      </c>
      <c r="K131" s="44">
        <v>1.8767849857201101E-2</v>
      </c>
      <c r="L131" s="42"/>
      <c r="M131" s="47"/>
      <c r="N131" s="84">
        <v>45387</v>
      </c>
      <c r="O131" s="85"/>
      <c r="P131" s="48" t="str">
        <f t="shared" si="66"/>
        <v/>
      </c>
      <c r="Q131" s="56">
        <f t="shared" si="67"/>
        <v>0</v>
      </c>
      <c r="R131" s="86"/>
      <c r="S131" s="57">
        <f t="shared" si="68"/>
        <v>0</v>
      </c>
      <c r="T131" s="87"/>
      <c r="U131" s="58">
        <f t="shared" si="69"/>
        <v>0</v>
      </c>
      <c r="V131" s="87"/>
      <c r="W131" s="57">
        <f t="shared" si="70"/>
        <v>0</v>
      </c>
      <c r="X131" s="87"/>
      <c r="Y131" s="59"/>
      <c r="Z131" s="15">
        <f t="shared" si="71"/>
        <v>0</v>
      </c>
      <c r="AA131" s="15" t="str">
        <f t="shared" si="72"/>
        <v/>
      </c>
      <c r="AB131" s="69" t="str">
        <f>IFERROR(REPORTE[[#This Row],[Kg Exportados]]/REPORTE[[#This Row],[Ha]],"")</f>
        <v/>
      </c>
      <c r="AC131" s="65" t="str">
        <f>IFERROR(VLOOKUP(REPORTE[[#This Row],[Lote]],PROYECCION[],16,FALSE),"")</f>
        <v/>
      </c>
      <c r="AD131" s="66" t="s">
        <v>72</v>
      </c>
      <c r="AE131" s="2"/>
      <c r="AG131" s="2"/>
      <c r="AK131" s="2"/>
      <c r="AL131" s="2"/>
      <c r="AN131" s="2"/>
    </row>
    <row r="132" spans="1:40" ht="14.25" customHeight="1" x14ac:dyDescent="0.25">
      <c r="A132" s="42">
        <f t="shared" si="65"/>
        <v>14</v>
      </c>
      <c r="B132" s="42" t="str">
        <f>TEXT(REPORTE[[#This Row],[Fecha]],"MMMM")</f>
        <v>Abril</v>
      </c>
      <c r="C132" s="42" t="str">
        <f>IFERROR(VLOOKUP(REPORTE[[#This Row],[Lote]],PROYECCION[],3,FALSE),"")</f>
        <v/>
      </c>
      <c r="D132" s="47" t="str">
        <f>IFERROR(VLOOKUP(REPORTE[[#This Row],[Lote]],PROYECCION[],2,FALSE),"")</f>
        <v/>
      </c>
      <c r="E132" s="65"/>
      <c r="F132" s="53" t="str">
        <f>IFERROR(VLOOKUP(REPORTE[[#This Row],[Lote]],PROYECCION[],5,FALSE),"")</f>
        <v/>
      </c>
      <c r="G132" s="42" t="str">
        <f>IFERROR(VLOOKUP(REPORTE[[#This Row],[Lote]],PROYECCION[],4,FALSE),"")</f>
        <v/>
      </c>
      <c r="H132" s="42" t="str">
        <f>IFERROR(VLOOKUP(REPORTE[[#This Row],[Lote]],PROYECCION[],6,FALSE),"")</f>
        <v/>
      </c>
      <c r="I132" s="96" t="s">
        <v>167</v>
      </c>
      <c r="J132" s="15">
        <f>SUM($S$120:$S$122)*REPORTE[[#This Row],[% Calibre]]</f>
        <v>2489.9999999999795</v>
      </c>
      <c r="K132" s="44">
        <v>0.101591187270501</v>
      </c>
      <c r="L132" s="42"/>
      <c r="M132" s="47"/>
      <c r="N132" s="84">
        <v>45387</v>
      </c>
      <c r="O132" s="85"/>
      <c r="P132" s="48" t="str">
        <f t="shared" si="66"/>
        <v/>
      </c>
      <c r="Q132" s="56">
        <f t="shared" si="67"/>
        <v>0</v>
      </c>
      <c r="R132" s="86"/>
      <c r="S132" s="57">
        <f t="shared" si="68"/>
        <v>0</v>
      </c>
      <c r="T132" s="87"/>
      <c r="U132" s="58">
        <f t="shared" si="69"/>
        <v>0</v>
      </c>
      <c r="V132" s="87"/>
      <c r="W132" s="57">
        <f t="shared" si="70"/>
        <v>0</v>
      </c>
      <c r="X132" s="87"/>
      <c r="Y132" s="59"/>
      <c r="Z132" s="15">
        <f t="shared" si="71"/>
        <v>0</v>
      </c>
      <c r="AA132" s="15" t="str">
        <f t="shared" si="72"/>
        <v/>
      </c>
      <c r="AB132" s="69" t="str">
        <f>IFERROR(REPORTE[[#This Row],[Kg Exportados]]/REPORTE[[#This Row],[Ha]],"")</f>
        <v/>
      </c>
      <c r="AC132" s="65" t="str">
        <f>IFERROR(VLOOKUP(REPORTE[[#This Row],[Lote]],PROYECCION[],16,FALSE),"")</f>
        <v/>
      </c>
      <c r="AD132" s="66" t="s">
        <v>72</v>
      </c>
      <c r="AE132" s="2"/>
      <c r="AG132" s="2"/>
      <c r="AK132" s="2"/>
      <c r="AL132" s="2"/>
      <c r="AN132" s="2"/>
    </row>
    <row r="133" spans="1:40" ht="14.25" customHeight="1" x14ac:dyDescent="0.25">
      <c r="A133" s="42">
        <f t="shared" si="65"/>
        <v>14</v>
      </c>
      <c r="B133" s="42" t="str">
        <f>TEXT(REPORTE[[#This Row],[Fecha]],"MMMM")</f>
        <v>Abril</v>
      </c>
      <c r="C133" s="42" t="str">
        <f>IFERROR(VLOOKUP(REPORTE[[#This Row],[Lote]],PROYECCION[],3,FALSE),"")</f>
        <v/>
      </c>
      <c r="D133" s="47" t="str">
        <f>IFERROR(VLOOKUP(REPORTE[[#This Row],[Lote]],PROYECCION[],2,FALSE),"")</f>
        <v/>
      </c>
      <c r="E133" s="65"/>
      <c r="F133" s="53" t="str">
        <f>IFERROR(VLOOKUP(REPORTE[[#This Row],[Lote]],PROYECCION[],5,FALSE),"")</f>
        <v/>
      </c>
      <c r="G133" s="42" t="str">
        <f>IFERROR(VLOOKUP(REPORTE[[#This Row],[Lote]],PROYECCION[],4,FALSE),"")</f>
        <v/>
      </c>
      <c r="H133" s="42" t="str">
        <f>IFERROR(VLOOKUP(REPORTE[[#This Row],[Lote]],PROYECCION[],6,FALSE),"")</f>
        <v/>
      </c>
      <c r="I133" s="96" t="s">
        <v>168</v>
      </c>
      <c r="J133" s="15">
        <f>SUM($S$120:$S$122)*REPORTE[[#This Row],[% Calibre]]</f>
        <v>939.99999999999977</v>
      </c>
      <c r="K133" s="44">
        <v>3.8351693186454497E-2</v>
      </c>
      <c r="L133" s="42"/>
      <c r="M133" s="47"/>
      <c r="N133" s="84">
        <v>45387</v>
      </c>
      <c r="O133" s="85"/>
      <c r="P133" s="48" t="str">
        <f t="shared" si="66"/>
        <v/>
      </c>
      <c r="Q133" s="56">
        <f t="shared" si="67"/>
        <v>0</v>
      </c>
      <c r="R133" s="86"/>
      <c r="S133" s="57">
        <f t="shared" si="68"/>
        <v>0</v>
      </c>
      <c r="T133" s="87"/>
      <c r="U133" s="58">
        <f t="shared" si="69"/>
        <v>0</v>
      </c>
      <c r="V133" s="87"/>
      <c r="W133" s="57">
        <f t="shared" si="70"/>
        <v>0</v>
      </c>
      <c r="X133" s="87"/>
      <c r="Y133" s="59"/>
      <c r="Z133" s="15">
        <f t="shared" si="71"/>
        <v>0</v>
      </c>
      <c r="AA133" s="15" t="str">
        <f t="shared" si="72"/>
        <v/>
      </c>
      <c r="AB133" s="69" t="str">
        <f>IFERROR(REPORTE[[#This Row],[Kg Exportados]]/REPORTE[[#This Row],[Ha]],"")</f>
        <v/>
      </c>
      <c r="AC133" s="65" t="str">
        <f>IFERROR(VLOOKUP(REPORTE[[#This Row],[Lote]],PROYECCION[],16,FALSE),"")</f>
        <v/>
      </c>
      <c r="AD133" s="66" t="s">
        <v>72</v>
      </c>
      <c r="AE133" s="2"/>
      <c r="AG133" s="2"/>
      <c r="AK133" s="2"/>
      <c r="AL133" s="2"/>
      <c r="AN133" s="2"/>
    </row>
    <row r="134" spans="1:40" ht="14.25" customHeight="1" x14ac:dyDescent="0.25">
      <c r="A134" s="42">
        <f t="shared" si="65"/>
        <v>14</v>
      </c>
      <c r="B134" s="42" t="str">
        <f>TEXT(REPORTE[[#This Row],[Fecha]],"MMMM")</f>
        <v>Abril</v>
      </c>
      <c r="C134" s="42" t="str">
        <f>IFERROR(VLOOKUP(REPORTE[[#This Row],[Lote]],PROYECCION[],3,FALSE),"")</f>
        <v/>
      </c>
      <c r="D134" s="47" t="str">
        <f>IFERROR(VLOOKUP(REPORTE[[#This Row],[Lote]],PROYECCION[],2,FALSE),"")</f>
        <v/>
      </c>
      <c r="E134" s="65"/>
      <c r="F134" s="53" t="str">
        <f>IFERROR(VLOOKUP(REPORTE[[#This Row],[Lote]],PROYECCION[],5,FALSE),"")</f>
        <v/>
      </c>
      <c r="G134" s="42" t="str">
        <f>IFERROR(VLOOKUP(REPORTE[[#This Row],[Lote]],PROYECCION[],4,FALSE),"")</f>
        <v/>
      </c>
      <c r="H134" s="42" t="str">
        <f>IFERROR(VLOOKUP(REPORTE[[#This Row],[Lote]],PROYECCION[],6,FALSE),"")</f>
        <v/>
      </c>
      <c r="I134" s="96" t="s">
        <v>160</v>
      </c>
      <c r="J134" s="15">
        <f>SUM($S$120:$S$122)*REPORTE[[#This Row],[% Calibre]]</f>
        <v>369.99999999999915</v>
      </c>
      <c r="K134" s="44">
        <v>1.5095879232966101E-2</v>
      </c>
      <c r="L134" s="42"/>
      <c r="M134" s="47"/>
      <c r="N134" s="84">
        <v>45387</v>
      </c>
      <c r="O134" s="85"/>
      <c r="P134" s="48" t="str">
        <f t="shared" si="66"/>
        <v/>
      </c>
      <c r="Q134" s="56">
        <f t="shared" si="67"/>
        <v>0</v>
      </c>
      <c r="R134" s="86"/>
      <c r="S134" s="57">
        <f t="shared" si="68"/>
        <v>0</v>
      </c>
      <c r="T134" s="87"/>
      <c r="U134" s="58">
        <f t="shared" si="69"/>
        <v>0</v>
      </c>
      <c r="V134" s="87"/>
      <c r="W134" s="57">
        <f t="shared" si="70"/>
        <v>0</v>
      </c>
      <c r="X134" s="87"/>
      <c r="Y134" s="59"/>
      <c r="Z134" s="15">
        <f t="shared" si="71"/>
        <v>0</v>
      </c>
      <c r="AA134" s="15" t="str">
        <f t="shared" si="72"/>
        <v/>
      </c>
      <c r="AB134" s="69" t="str">
        <f>IFERROR(REPORTE[[#This Row],[Kg Exportados]]/REPORTE[[#This Row],[Ha]],"")</f>
        <v/>
      </c>
      <c r="AC134" s="65" t="str">
        <f>IFERROR(VLOOKUP(REPORTE[[#This Row],[Lote]],PROYECCION[],16,FALSE),"")</f>
        <v/>
      </c>
      <c r="AD134" s="66" t="s">
        <v>72</v>
      </c>
      <c r="AE134" s="2"/>
      <c r="AG134" s="2"/>
      <c r="AK134" s="2"/>
      <c r="AL134" s="2"/>
      <c r="AN134" s="2"/>
    </row>
    <row r="135" spans="1:40" ht="14.25" customHeight="1" x14ac:dyDescent="0.25">
      <c r="A135" s="42">
        <f t="shared" si="65"/>
        <v>14</v>
      </c>
      <c r="B135" s="42" t="str">
        <f>TEXT(REPORTE[[#This Row],[Fecha]],"MMMM")</f>
        <v>Abril</v>
      </c>
      <c r="C135" s="42" t="str">
        <f>IFERROR(VLOOKUP(REPORTE[[#This Row],[Lote]],PROYECCION[],3,FALSE),"")</f>
        <v/>
      </c>
      <c r="D135" s="47" t="str">
        <f>IFERROR(VLOOKUP(REPORTE[[#This Row],[Lote]],PROYECCION[],2,FALSE),"")</f>
        <v/>
      </c>
      <c r="E135" s="65"/>
      <c r="F135" s="53" t="str">
        <f>IFERROR(VLOOKUP(REPORTE[[#This Row],[Lote]],PROYECCION[],5,FALSE),"")</f>
        <v/>
      </c>
      <c r="G135" s="42" t="str">
        <f>IFERROR(VLOOKUP(REPORTE[[#This Row],[Lote]],PROYECCION[],4,FALSE),"")</f>
        <v/>
      </c>
      <c r="H135" s="42" t="str">
        <f>IFERROR(VLOOKUP(REPORTE[[#This Row],[Lote]],PROYECCION[],6,FALSE),"")</f>
        <v/>
      </c>
      <c r="I135" s="96" t="s">
        <v>169</v>
      </c>
      <c r="J135" s="15">
        <f>SUM($S$120:$S$122)*REPORTE[[#This Row],[% Calibre]]</f>
        <v>1059.9999999999989</v>
      </c>
      <c r="K135" s="44">
        <v>4.3247654018767803E-2</v>
      </c>
      <c r="L135" s="42"/>
      <c r="M135" s="47"/>
      <c r="N135" s="84">
        <v>45387</v>
      </c>
      <c r="O135" s="85"/>
      <c r="P135" s="48" t="str">
        <f t="shared" si="66"/>
        <v/>
      </c>
      <c r="Q135" s="56">
        <f t="shared" si="67"/>
        <v>0</v>
      </c>
      <c r="R135" s="86"/>
      <c r="S135" s="57">
        <f t="shared" si="68"/>
        <v>0</v>
      </c>
      <c r="T135" s="87"/>
      <c r="U135" s="58">
        <f t="shared" si="69"/>
        <v>0</v>
      </c>
      <c r="V135" s="87"/>
      <c r="W135" s="57">
        <f t="shared" si="70"/>
        <v>0</v>
      </c>
      <c r="X135" s="87"/>
      <c r="Y135" s="59"/>
      <c r="Z135" s="15">
        <f t="shared" si="71"/>
        <v>0</v>
      </c>
      <c r="AA135" s="15" t="str">
        <f t="shared" si="72"/>
        <v/>
      </c>
      <c r="AB135" s="69" t="str">
        <f>IFERROR(REPORTE[[#This Row],[Kg Exportados]]/REPORTE[[#This Row],[Ha]],"")</f>
        <v/>
      </c>
      <c r="AC135" s="65" t="str">
        <f>IFERROR(VLOOKUP(REPORTE[[#This Row],[Lote]],PROYECCION[],16,FALSE),"")</f>
        <v/>
      </c>
      <c r="AD135" s="66" t="s">
        <v>72</v>
      </c>
      <c r="AE135" s="2"/>
      <c r="AG135" s="2"/>
      <c r="AK135" s="2"/>
      <c r="AL135" s="2"/>
      <c r="AN135" s="2"/>
    </row>
    <row r="136" spans="1:40" ht="14.25" customHeight="1" x14ac:dyDescent="0.25">
      <c r="A136" s="42">
        <f t="shared" si="65"/>
        <v>14</v>
      </c>
      <c r="B136" s="42" t="str">
        <f>TEXT(REPORTE[[#This Row],[Fecha]],"MMMM")</f>
        <v>Abril</v>
      </c>
      <c r="C136" s="42" t="str">
        <f>IFERROR(VLOOKUP(REPORTE[[#This Row],[Lote]],PROYECCION[],3,FALSE),"")</f>
        <v/>
      </c>
      <c r="D136" s="47" t="str">
        <f>IFERROR(VLOOKUP(REPORTE[[#This Row],[Lote]],PROYECCION[],2,FALSE),"")</f>
        <v/>
      </c>
      <c r="E136" s="65"/>
      <c r="F136" s="53" t="str">
        <f>IFERROR(VLOOKUP(REPORTE[[#This Row],[Lote]],PROYECCION[],5,FALSE),"")</f>
        <v/>
      </c>
      <c r="G136" s="42" t="str">
        <f>IFERROR(VLOOKUP(REPORTE[[#This Row],[Lote]],PROYECCION[],4,FALSE),"")</f>
        <v/>
      </c>
      <c r="H136" s="42" t="str">
        <f>IFERROR(VLOOKUP(REPORTE[[#This Row],[Lote]],PROYECCION[],6,FALSE),"")</f>
        <v/>
      </c>
      <c r="I136" s="96" t="s">
        <v>170</v>
      </c>
      <c r="J136" s="15">
        <f>SUM($S$120:$S$122)*REPORTE[[#This Row],[% Calibre]]</f>
        <v>859.99999999999966</v>
      </c>
      <c r="K136" s="44">
        <v>3.5087719298245598E-2</v>
      </c>
      <c r="L136" s="42"/>
      <c r="M136" s="47"/>
      <c r="N136" s="84">
        <v>45387</v>
      </c>
      <c r="O136" s="85"/>
      <c r="P136" s="48" t="str">
        <f t="shared" si="66"/>
        <v/>
      </c>
      <c r="Q136" s="56">
        <f t="shared" si="67"/>
        <v>0</v>
      </c>
      <c r="R136" s="86"/>
      <c r="S136" s="57">
        <f t="shared" si="68"/>
        <v>0</v>
      </c>
      <c r="T136" s="87"/>
      <c r="U136" s="58">
        <f t="shared" si="69"/>
        <v>0</v>
      </c>
      <c r="V136" s="87"/>
      <c r="W136" s="57">
        <f t="shared" si="70"/>
        <v>0</v>
      </c>
      <c r="X136" s="87"/>
      <c r="Y136" s="59"/>
      <c r="Z136" s="15">
        <f t="shared" si="71"/>
        <v>0</v>
      </c>
      <c r="AA136" s="15" t="str">
        <f t="shared" si="72"/>
        <v/>
      </c>
      <c r="AB136" s="69" t="str">
        <f>IFERROR(REPORTE[[#This Row],[Kg Exportados]]/REPORTE[[#This Row],[Ha]],"")</f>
        <v/>
      </c>
      <c r="AC136" s="65" t="str">
        <f>IFERROR(VLOOKUP(REPORTE[[#This Row],[Lote]],PROYECCION[],16,FALSE),"")</f>
        <v/>
      </c>
      <c r="AD136" s="66" t="s">
        <v>72</v>
      </c>
      <c r="AE136" s="2"/>
      <c r="AG136" s="2"/>
      <c r="AK136" s="2"/>
      <c r="AL136" s="2"/>
      <c r="AN136" s="2"/>
    </row>
    <row r="137" spans="1:40" ht="14.25" customHeight="1" x14ac:dyDescent="0.25">
      <c r="A137" s="42">
        <f t="shared" si="65"/>
        <v>14</v>
      </c>
      <c r="B137" s="42" t="str">
        <f>TEXT(REPORTE[[#This Row],[Fecha]],"MMMM")</f>
        <v>Abril</v>
      </c>
      <c r="C137" s="42" t="str">
        <f>IFERROR(VLOOKUP(REPORTE[[#This Row],[Lote]],PROYECCION[],3,FALSE),"")</f>
        <v/>
      </c>
      <c r="D137" s="47" t="str">
        <f>IFERROR(VLOOKUP(REPORTE[[#This Row],[Lote]],PROYECCION[],2,FALSE),"")</f>
        <v/>
      </c>
      <c r="E137" s="65"/>
      <c r="F137" s="53" t="str">
        <f>IFERROR(VLOOKUP(REPORTE[[#This Row],[Lote]],PROYECCION[],5,FALSE),"")</f>
        <v/>
      </c>
      <c r="G137" s="42" t="str">
        <f>IFERROR(VLOOKUP(REPORTE[[#This Row],[Lote]],PROYECCION[],4,FALSE),"")</f>
        <v/>
      </c>
      <c r="H137" s="42" t="str">
        <f>IFERROR(VLOOKUP(REPORTE[[#This Row],[Lote]],PROYECCION[],6,FALSE),"")</f>
        <v/>
      </c>
      <c r="I137" s="96" t="s">
        <v>171</v>
      </c>
      <c r="J137" s="15">
        <f>SUM($S$120:$S$122)*REPORTE[[#This Row],[% Calibre]]</f>
        <v>660.00000000000057</v>
      </c>
      <c r="K137" s="44">
        <v>2.69277845777234E-2</v>
      </c>
      <c r="L137" s="42"/>
      <c r="M137" s="47"/>
      <c r="N137" s="84">
        <v>45387</v>
      </c>
      <c r="O137" s="85"/>
      <c r="P137" s="48" t="str">
        <f t="shared" si="66"/>
        <v/>
      </c>
      <c r="Q137" s="56">
        <f t="shared" si="67"/>
        <v>0</v>
      </c>
      <c r="R137" s="86"/>
      <c r="S137" s="57">
        <f t="shared" si="68"/>
        <v>0</v>
      </c>
      <c r="T137" s="87"/>
      <c r="U137" s="58">
        <f t="shared" si="69"/>
        <v>0</v>
      </c>
      <c r="V137" s="87"/>
      <c r="W137" s="57">
        <f t="shared" si="70"/>
        <v>0</v>
      </c>
      <c r="X137" s="87"/>
      <c r="Y137" s="59"/>
      <c r="Z137" s="15">
        <f t="shared" si="71"/>
        <v>0</v>
      </c>
      <c r="AA137" s="15" t="str">
        <f t="shared" si="72"/>
        <v/>
      </c>
      <c r="AB137" s="69" t="str">
        <f>IFERROR(REPORTE[[#This Row],[Kg Exportados]]/REPORTE[[#This Row],[Ha]],"")</f>
        <v/>
      </c>
      <c r="AC137" s="65" t="str">
        <f>IFERROR(VLOOKUP(REPORTE[[#This Row],[Lote]],PROYECCION[],16,FALSE),"")</f>
        <v/>
      </c>
      <c r="AD137" s="66" t="s">
        <v>72</v>
      </c>
      <c r="AE137" s="2"/>
      <c r="AG137" s="2"/>
      <c r="AK137" s="2"/>
      <c r="AL137" s="2"/>
      <c r="AN137" s="2"/>
    </row>
    <row r="138" spans="1:40" ht="14.25" customHeight="1" x14ac:dyDescent="0.25">
      <c r="A138" s="42">
        <f t="shared" si="65"/>
        <v>14</v>
      </c>
      <c r="B138" s="42" t="str">
        <f>TEXT(REPORTE[[#This Row],[Fecha]],"MMMM")</f>
        <v>Abril</v>
      </c>
      <c r="C138" s="42" t="str">
        <f>IFERROR(VLOOKUP(REPORTE[[#This Row],[Lote]],PROYECCION[],3,FALSE),"")</f>
        <v>Don Nico</v>
      </c>
      <c r="D138" s="47" t="str">
        <f>IFERROR(VLOOKUP(REPORTE[[#This Row],[Lote]],PROYECCION[],2,FALSE),"")</f>
        <v>Agricola Guili S.A.C</v>
      </c>
      <c r="E138" s="65" t="s">
        <v>45</v>
      </c>
      <c r="F138" s="53">
        <f>IFERROR(VLOOKUP(REPORTE[[#This Row],[Lote]],PROYECCION[],5,FALSE),"")</f>
        <v>11.756302521008404</v>
      </c>
      <c r="G138" s="42" t="str">
        <f>IFERROR(VLOOKUP(REPORTE[[#This Row],[Lote]],PROYECCION[],4,FALSE),"")</f>
        <v>Hass</v>
      </c>
      <c r="H138" s="42" t="str">
        <f>IFERROR(VLOOKUP(REPORTE[[#This Row],[Lote]],PROYECCION[],6,FALSE),"")</f>
        <v>Negra</v>
      </c>
      <c r="I138" s="96"/>
      <c r="J138" s="15"/>
      <c r="K138" s="44"/>
      <c r="L138" s="42" t="s">
        <v>175</v>
      </c>
      <c r="M138" s="47" t="s">
        <v>176</v>
      </c>
      <c r="N138" s="84">
        <v>45388</v>
      </c>
      <c r="O138" s="85">
        <v>3</v>
      </c>
      <c r="P138" s="48">
        <f t="shared" si="66"/>
        <v>480</v>
      </c>
      <c r="Q138" s="56">
        <f t="shared" si="67"/>
        <v>144</v>
      </c>
      <c r="R138" s="86">
        <v>1440</v>
      </c>
      <c r="S138" s="57">
        <f t="shared" si="68"/>
        <v>1440</v>
      </c>
      <c r="T138" s="87">
        <v>1</v>
      </c>
      <c r="U138" s="58">
        <f t="shared" si="69"/>
        <v>0</v>
      </c>
      <c r="V138" s="87">
        <v>0</v>
      </c>
      <c r="W138" s="57">
        <f t="shared" si="70"/>
        <v>0</v>
      </c>
      <c r="X138" s="87">
        <v>0</v>
      </c>
      <c r="Y138" s="59"/>
      <c r="Z138" s="15">
        <f t="shared" si="71"/>
        <v>1440</v>
      </c>
      <c r="AA138" s="15">
        <f t="shared" si="72"/>
        <v>122.48749106504646</v>
      </c>
      <c r="AB138" s="69">
        <f>IFERROR(REPORTE[[#This Row],[Kg Exportados]]/REPORTE[[#This Row],[Ha]],"")</f>
        <v>122.48749106504646</v>
      </c>
      <c r="AC138" s="65" t="str">
        <f>IFERROR(VLOOKUP(REPORTE[[#This Row],[Lote]],PROYECCION[],16,FALSE),"")</f>
        <v>Cosechando</v>
      </c>
      <c r="AD138" s="66" t="s">
        <v>32</v>
      </c>
      <c r="AE138" s="2"/>
      <c r="AG138" s="2"/>
      <c r="AK138" s="2"/>
      <c r="AL138" s="2"/>
      <c r="AN138" s="2"/>
    </row>
    <row r="139" spans="1:40" ht="14.25" customHeight="1" x14ac:dyDescent="0.25">
      <c r="A139" s="42">
        <f t="shared" ref="A139:A145" si="73">WEEKNUM(N139)</f>
        <v>14</v>
      </c>
      <c r="B139" s="42" t="str">
        <f>TEXT(REPORTE[[#This Row],[Fecha]],"MMMM")</f>
        <v>Abril</v>
      </c>
      <c r="C139" s="42" t="str">
        <f>IFERROR(VLOOKUP(REPORTE[[#This Row],[Lote]],PROYECCION[],3,FALSE),"")</f>
        <v/>
      </c>
      <c r="D139" s="47" t="str">
        <f>IFERROR(VLOOKUP(REPORTE[[#This Row],[Lote]],PROYECCION[],2,FALSE),"")</f>
        <v/>
      </c>
      <c r="E139" s="65"/>
      <c r="F139" s="53" t="str">
        <f>IFERROR(VLOOKUP(REPORTE[[#This Row],[Lote]],PROYECCION[],5,FALSE),"")</f>
        <v/>
      </c>
      <c r="G139" s="42" t="str">
        <f>IFERROR(VLOOKUP(REPORTE[[#This Row],[Lote]],PROYECCION[],4,FALSE),"")</f>
        <v/>
      </c>
      <c r="H139" s="42" t="str">
        <f>IFERROR(VLOOKUP(REPORTE[[#This Row],[Lote]],PROYECCION[],6,FALSE),"")</f>
        <v/>
      </c>
      <c r="I139" s="96" t="s">
        <v>162</v>
      </c>
      <c r="J139" s="15">
        <f>SUM($S$138)*REPORTE[[#This Row],[% Calibre]]</f>
        <v>49.999999999999972</v>
      </c>
      <c r="K139" s="44">
        <v>3.4722222222222203E-2</v>
      </c>
      <c r="L139" s="42"/>
      <c r="M139" s="47"/>
      <c r="N139" s="84">
        <v>45388</v>
      </c>
      <c r="O139" s="85"/>
      <c r="P139" s="48" t="str">
        <f t="shared" ref="P139:P145" si="74">IFERROR((+R139/O139),"")</f>
        <v/>
      </c>
      <c r="Q139" s="56">
        <f t="shared" ref="Q139:Q145" si="75">+S139/10</f>
        <v>0</v>
      </c>
      <c r="R139" s="86"/>
      <c r="S139" s="57">
        <f t="shared" ref="S139:S145" si="76">+R139*T139</f>
        <v>0</v>
      </c>
      <c r="T139" s="87"/>
      <c r="U139" s="58">
        <f t="shared" ref="U139:U145" si="77">R139*V139</f>
        <v>0</v>
      </c>
      <c r="V139" s="87"/>
      <c r="W139" s="57">
        <f t="shared" ref="W139:W145" si="78">R139*X139</f>
        <v>0</v>
      </c>
      <c r="X139" s="87"/>
      <c r="Y139" s="59"/>
      <c r="Z139" s="15">
        <f t="shared" ref="Z139:Z145" si="79">R139+Y139</f>
        <v>0</v>
      </c>
      <c r="AA139" s="15" t="str">
        <f t="shared" ref="AA139:AA145" si="80">IFERROR((Z139/F139),"")</f>
        <v/>
      </c>
      <c r="AB139" s="69" t="str">
        <f>IFERROR(REPORTE[[#This Row],[Kg Exportados]]/REPORTE[[#This Row],[Ha]],"")</f>
        <v/>
      </c>
      <c r="AC139" s="65" t="str">
        <f>IFERROR(VLOOKUP(REPORTE[[#This Row],[Lote]],PROYECCION[],16,FALSE),"")</f>
        <v/>
      </c>
      <c r="AD139" s="66" t="s">
        <v>32</v>
      </c>
      <c r="AE139" s="2"/>
      <c r="AG139" s="2"/>
      <c r="AK139" s="2"/>
      <c r="AL139" s="2"/>
      <c r="AN139" s="2"/>
    </row>
    <row r="140" spans="1:40" ht="14.25" customHeight="1" x14ac:dyDescent="0.25">
      <c r="A140" s="42">
        <f t="shared" si="73"/>
        <v>14</v>
      </c>
      <c r="B140" s="42" t="str">
        <f>TEXT(REPORTE[[#This Row],[Fecha]],"MMMM")</f>
        <v>Abril</v>
      </c>
      <c r="C140" s="42" t="str">
        <f>IFERROR(VLOOKUP(REPORTE[[#This Row],[Lote]],PROYECCION[],3,FALSE),"")</f>
        <v/>
      </c>
      <c r="D140" s="47" t="str">
        <f>IFERROR(VLOOKUP(REPORTE[[#This Row],[Lote]],PROYECCION[],2,FALSE),"")</f>
        <v/>
      </c>
      <c r="E140" s="65"/>
      <c r="F140" s="53" t="str">
        <f>IFERROR(VLOOKUP(REPORTE[[#This Row],[Lote]],PROYECCION[],5,FALSE),"")</f>
        <v/>
      </c>
      <c r="G140" s="42" t="str">
        <f>IFERROR(VLOOKUP(REPORTE[[#This Row],[Lote]],PROYECCION[],4,FALSE),"")</f>
        <v/>
      </c>
      <c r="H140" s="42" t="str">
        <f>IFERROR(VLOOKUP(REPORTE[[#This Row],[Lote]],PROYECCION[],6,FALSE),"")</f>
        <v/>
      </c>
      <c r="I140" s="96" t="s">
        <v>163</v>
      </c>
      <c r="J140" s="15">
        <f>SUM($S$138)*REPORTE[[#This Row],[% Calibre]]</f>
        <v>199.99999999999872</v>
      </c>
      <c r="K140" s="44">
        <v>0.13888888888888801</v>
      </c>
      <c r="L140" s="42"/>
      <c r="M140" s="47"/>
      <c r="N140" s="84">
        <v>45388</v>
      </c>
      <c r="O140" s="85"/>
      <c r="P140" s="48" t="str">
        <f t="shared" si="74"/>
        <v/>
      </c>
      <c r="Q140" s="56">
        <f t="shared" si="75"/>
        <v>0</v>
      </c>
      <c r="R140" s="86"/>
      <c r="S140" s="57">
        <f t="shared" si="76"/>
        <v>0</v>
      </c>
      <c r="T140" s="87"/>
      <c r="U140" s="58">
        <f t="shared" si="77"/>
        <v>0</v>
      </c>
      <c r="V140" s="87"/>
      <c r="W140" s="57">
        <f t="shared" si="78"/>
        <v>0</v>
      </c>
      <c r="X140" s="87"/>
      <c r="Y140" s="59"/>
      <c r="Z140" s="15">
        <f t="shared" si="79"/>
        <v>0</v>
      </c>
      <c r="AA140" s="15" t="str">
        <f t="shared" si="80"/>
        <v/>
      </c>
      <c r="AB140" s="69" t="str">
        <f>IFERROR(REPORTE[[#This Row],[Kg Exportados]]/REPORTE[[#This Row],[Ha]],"")</f>
        <v/>
      </c>
      <c r="AC140" s="65" t="str">
        <f>IFERROR(VLOOKUP(REPORTE[[#This Row],[Lote]],PROYECCION[],16,FALSE),"")</f>
        <v/>
      </c>
      <c r="AD140" s="66" t="s">
        <v>32</v>
      </c>
      <c r="AE140" s="2"/>
      <c r="AG140" s="2"/>
      <c r="AK140" s="2"/>
      <c r="AL140" s="2"/>
      <c r="AN140" s="2"/>
    </row>
    <row r="141" spans="1:40" ht="14.25" customHeight="1" x14ac:dyDescent="0.25">
      <c r="A141" s="42">
        <f t="shared" si="73"/>
        <v>14</v>
      </c>
      <c r="B141" s="42" t="str">
        <f>TEXT(REPORTE[[#This Row],[Fecha]],"MMMM")</f>
        <v>Abril</v>
      </c>
      <c r="C141" s="42" t="str">
        <f>IFERROR(VLOOKUP(REPORTE[[#This Row],[Lote]],PROYECCION[],3,FALSE),"")</f>
        <v/>
      </c>
      <c r="D141" s="47" t="str">
        <f>IFERROR(VLOOKUP(REPORTE[[#This Row],[Lote]],PROYECCION[],2,FALSE),"")</f>
        <v/>
      </c>
      <c r="E141" s="65"/>
      <c r="F141" s="53" t="str">
        <f>IFERROR(VLOOKUP(REPORTE[[#This Row],[Lote]],PROYECCION[],5,FALSE),"")</f>
        <v/>
      </c>
      <c r="G141" s="42" t="str">
        <f>IFERROR(VLOOKUP(REPORTE[[#This Row],[Lote]],PROYECCION[],4,FALSE),"")</f>
        <v/>
      </c>
      <c r="H141" s="42" t="str">
        <f>IFERROR(VLOOKUP(REPORTE[[#This Row],[Lote]],PROYECCION[],6,FALSE),"")</f>
        <v/>
      </c>
      <c r="I141" s="96" t="s">
        <v>164</v>
      </c>
      <c r="J141" s="15">
        <f>SUM($S$138)*REPORTE[[#This Row],[% Calibre]]</f>
        <v>209.99999999999955</v>
      </c>
      <c r="K141" s="44">
        <v>0.14583333333333301</v>
      </c>
      <c r="L141" s="42"/>
      <c r="M141" s="47"/>
      <c r="N141" s="84">
        <v>45388</v>
      </c>
      <c r="O141" s="85"/>
      <c r="P141" s="48" t="str">
        <f t="shared" si="74"/>
        <v/>
      </c>
      <c r="Q141" s="56">
        <f t="shared" si="75"/>
        <v>0</v>
      </c>
      <c r="R141" s="86"/>
      <c r="S141" s="57">
        <f t="shared" si="76"/>
        <v>0</v>
      </c>
      <c r="T141" s="87"/>
      <c r="U141" s="58">
        <f t="shared" si="77"/>
        <v>0</v>
      </c>
      <c r="V141" s="87"/>
      <c r="W141" s="57">
        <f t="shared" si="78"/>
        <v>0</v>
      </c>
      <c r="X141" s="87"/>
      <c r="Y141" s="59"/>
      <c r="Z141" s="15">
        <f t="shared" si="79"/>
        <v>0</v>
      </c>
      <c r="AA141" s="15" t="str">
        <f t="shared" si="80"/>
        <v/>
      </c>
      <c r="AB141" s="69" t="str">
        <f>IFERROR(REPORTE[[#This Row],[Kg Exportados]]/REPORTE[[#This Row],[Ha]],"")</f>
        <v/>
      </c>
      <c r="AC141" s="65" t="str">
        <f>IFERROR(VLOOKUP(REPORTE[[#This Row],[Lote]],PROYECCION[],16,FALSE),"")</f>
        <v/>
      </c>
      <c r="AD141" s="66" t="s">
        <v>32</v>
      </c>
      <c r="AE141" s="2"/>
      <c r="AG141" s="2"/>
      <c r="AK141" s="2"/>
      <c r="AL141" s="2"/>
      <c r="AN141" s="2"/>
    </row>
    <row r="142" spans="1:40" ht="14.25" customHeight="1" x14ac:dyDescent="0.25">
      <c r="A142" s="42">
        <f t="shared" si="73"/>
        <v>14</v>
      </c>
      <c r="B142" s="42" t="str">
        <f>TEXT(REPORTE[[#This Row],[Fecha]],"MMMM")</f>
        <v>Abril</v>
      </c>
      <c r="C142" s="42" t="str">
        <f>IFERROR(VLOOKUP(REPORTE[[#This Row],[Lote]],PROYECCION[],3,FALSE),"")</f>
        <v/>
      </c>
      <c r="D142" s="47" t="str">
        <f>IFERROR(VLOOKUP(REPORTE[[#This Row],[Lote]],PROYECCION[],2,FALSE),"")</f>
        <v/>
      </c>
      <c r="E142" s="65"/>
      <c r="F142" s="53" t="str">
        <f>IFERROR(VLOOKUP(REPORTE[[#This Row],[Lote]],PROYECCION[],5,FALSE),"")</f>
        <v/>
      </c>
      <c r="G142" s="42" t="str">
        <f>IFERROR(VLOOKUP(REPORTE[[#This Row],[Lote]],PROYECCION[],4,FALSE),"")</f>
        <v/>
      </c>
      <c r="H142" s="42" t="str">
        <f>IFERROR(VLOOKUP(REPORTE[[#This Row],[Lote]],PROYECCION[],6,FALSE),"")</f>
        <v/>
      </c>
      <c r="I142" s="96" t="s">
        <v>154</v>
      </c>
      <c r="J142" s="15">
        <f>SUM($S$138)*REPORTE[[#This Row],[% Calibre]]</f>
        <v>239.99999999999903</v>
      </c>
      <c r="K142" s="44">
        <v>0.16666666666666599</v>
      </c>
      <c r="L142" s="42"/>
      <c r="M142" s="47"/>
      <c r="N142" s="84">
        <v>45388</v>
      </c>
      <c r="O142" s="85"/>
      <c r="P142" s="48" t="str">
        <f t="shared" si="74"/>
        <v/>
      </c>
      <c r="Q142" s="56">
        <f t="shared" si="75"/>
        <v>0</v>
      </c>
      <c r="R142" s="86"/>
      <c r="S142" s="57">
        <f t="shared" si="76"/>
        <v>0</v>
      </c>
      <c r="T142" s="87"/>
      <c r="U142" s="58">
        <f t="shared" si="77"/>
        <v>0</v>
      </c>
      <c r="V142" s="87"/>
      <c r="W142" s="57">
        <f t="shared" si="78"/>
        <v>0</v>
      </c>
      <c r="X142" s="87"/>
      <c r="Y142" s="59"/>
      <c r="Z142" s="15">
        <f t="shared" si="79"/>
        <v>0</v>
      </c>
      <c r="AA142" s="15" t="str">
        <f t="shared" si="80"/>
        <v/>
      </c>
      <c r="AB142" s="69" t="str">
        <f>IFERROR(REPORTE[[#This Row],[Kg Exportados]]/REPORTE[[#This Row],[Ha]],"")</f>
        <v/>
      </c>
      <c r="AC142" s="65" t="str">
        <f>IFERROR(VLOOKUP(REPORTE[[#This Row],[Lote]],PROYECCION[],16,FALSE),"")</f>
        <v/>
      </c>
      <c r="AD142" s="66" t="s">
        <v>32</v>
      </c>
      <c r="AE142" s="2"/>
      <c r="AG142" s="2"/>
      <c r="AK142" s="2"/>
      <c r="AL142" s="2"/>
      <c r="AN142" s="2"/>
    </row>
    <row r="143" spans="1:40" ht="14.25" customHeight="1" x14ac:dyDescent="0.25">
      <c r="A143" s="42">
        <f t="shared" si="73"/>
        <v>14</v>
      </c>
      <c r="B143" s="42" t="str">
        <f>TEXT(REPORTE[[#This Row],[Fecha]],"MMMM")</f>
        <v>Abril</v>
      </c>
      <c r="C143" s="42" t="str">
        <f>IFERROR(VLOOKUP(REPORTE[[#This Row],[Lote]],PROYECCION[],3,FALSE),"")</f>
        <v/>
      </c>
      <c r="D143" s="47" t="str">
        <f>IFERROR(VLOOKUP(REPORTE[[#This Row],[Lote]],PROYECCION[],2,FALSE),"")</f>
        <v/>
      </c>
      <c r="E143" s="65"/>
      <c r="F143" s="53" t="str">
        <f>IFERROR(VLOOKUP(REPORTE[[#This Row],[Lote]],PROYECCION[],5,FALSE),"")</f>
        <v/>
      </c>
      <c r="G143" s="42" t="str">
        <f>IFERROR(VLOOKUP(REPORTE[[#This Row],[Lote]],PROYECCION[],4,FALSE),"")</f>
        <v/>
      </c>
      <c r="H143" s="42" t="str">
        <f>IFERROR(VLOOKUP(REPORTE[[#This Row],[Lote]],PROYECCION[],6,FALSE),"")</f>
        <v/>
      </c>
      <c r="I143" s="96" t="s">
        <v>168</v>
      </c>
      <c r="J143" s="15">
        <f>SUM($S$138)*REPORTE[[#This Row],[% Calibre]]</f>
        <v>279.99999999999937</v>
      </c>
      <c r="K143" s="44">
        <v>0.194444444444444</v>
      </c>
      <c r="L143" s="42"/>
      <c r="M143" s="47"/>
      <c r="N143" s="84">
        <v>45388</v>
      </c>
      <c r="O143" s="85"/>
      <c r="P143" s="48" t="str">
        <f t="shared" si="74"/>
        <v/>
      </c>
      <c r="Q143" s="56">
        <f t="shared" si="75"/>
        <v>0</v>
      </c>
      <c r="R143" s="86"/>
      <c r="S143" s="57">
        <f t="shared" si="76"/>
        <v>0</v>
      </c>
      <c r="T143" s="87"/>
      <c r="U143" s="58">
        <f t="shared" si="77"/>
        <v>0</v>
      </c>
      <c r="V143" s="87"/>
      <c r="W143" s="57">
        <f t="shared" si="78"/>
        <v>0</v>
      </c>
      <c r="X143" s="87"/>
      <c r="Y143" s="59"/>
      <c r="Z143" s="15">
        <f t="shared" si="79"/>
        <v>0</v>
      </c>
      <c r="AA143" s="15" t="str">
        <f t="shared" si="80"/>
        <v/>
      </c>
      <c r="AB143" s="69" t="str">
        <f>IFERROR(REPORTE[[#This Row],[Kg Exportados]]/REPORTE[[#This Row],[Ha]],"")</f>
        <v/>
      </c>
      <c r="AC143" s="65" t="str">
        <f>IFERROR(VLOOKUP(REPORTE[[#This Row],[Lote]],PROYECCION[],16,FALSE),"")</f>
        <v/>
      </c>
      <c r="AD143" s="66" t="s">
        <v>32</v>
      </c>
      <c r="AE143" s="2"/>
      <c r="AG143" s="2"/>
      <c r="AK143" s="2"/>
      <c r="AL143" s="2"/>
      <c r="AN143" s="2"/>
    </row>
    <row r="144" spans="1:40" ht="14.25" customHeight="1" x14ac:dyDescent="0.25">
      <c r="A144" s="42">
        <f t="shared" si="73"/>
        <v>14</v>
      </c>
      <c r="B144" s="42" t="str">
        <f>TEXT(REPORTE[[#This Row],[Fecha]],"MMMM")</f>
        <v>Abril</v>
      </c>
      <c r="C144" s="42" t="str">
        <f>IFERROR(VLOOKUP(REPORTE[[#This Row],[Lote]],PROYECCION[],3,FALSE),"")</f>
        <v/>
      </c>
      <c r="D144" s="47" t="str">
        <f>IFERROR(VLOOKUP(REPORTE[[#This Row],[Lote]],PROYECCION[],2,FALSE),"")</f>
        <v/>
      </c>
      <c r="E144" s="65"/>
      <c r="F144" s="53" t="str">
        <f>IFERROR(VLOOKUP(REPORTE[[#This Row],[Lote]],PROYECCION[],5,FALSE),"")</f>
        <v/>
      </c>
      <c r="G144" s="42" t="str">
        <f>IFERROR(VLOOKUP(REPORTE[[#This Row],[Lote]],PROYECCION[],4,FALSE),"")</f>
        <v/>
      </c>
      <c r="H144" s="42" t="str">
        <f>IFERROR(VLOOKUP(REPORTE[[#This Row],[Lote]],PROYECCION[],6,FALSE),"")</f>
        <v/>
      </c>
      <c r="I144" s="96" t="s">
        <v>169</v>
      </c>
      <c r="J144" s="15">
        <f>SUM($S$138)*REPORTE[[#This Row],[% Calibre]]</f>
        <v>239.99999999999903</v>
      </c>
      <c r="K144" s="44">
        <v>0.16666666666666599</v>
      </c>
      <c r="L144" s="42"/>
      <c r="M144" s="47"/>
      <c r="N144" s="84">
        <v>45388</v>
      </c>
      <c r="O144" s="85"/>
      <c r="P144" s="48" t="str">
        <f t="shared" si="74"/>
        <v/>
      </c>
      <c r="Q144" s="56">
        <f t="shared" si="75"/>
        <v>0</v>
      </c>
      <c r="R144" s="86"/>
      <c r="S144" s="57">
        <f t="shared" si="76"/>
        <v>0</v>
      </c>
      <c r="T144" s="87"/>
      <c r="U144" s="58">
        <f t="shared" si="77"/>
        <v>0</v>
      </c>
      <c r="V144" s="87"/>
      <c r="W144" s="57">
        <f t="shared" si="78"/>
        <v>0</v>
      </c>
      <c r="X144" s="87"/>
      <c r="Y144" s="59"/>
      <c r="Z144" s="15">
        <f t="shared" si="79"/>
        <v>0</v>
      </c>
      <c r="AA144" s="15" t="str">
        <f t="shared" si="80"/>
        <v/>
      </c>
      <c r="AB144" s="69" t="str">
        <f>IFERROR(REPORTE[[#This Row],[Kg Exportados]]/REPORTE[[#This Row],[Ha]],"")</f>
        <v/>
      </c>
      <c r="AC144" s="65" t="str">
        <f>IFERROR(VLOOKUP(REPORTE[[#This Row],[Lote]],PROYECCION[],16,FALSE),"")</f>
        <v/>
      </c>
      <c r="AD144" s="66" t="s">
        <v>32</v>
      </c>
      <c r="AE144" s="2"/>
      <c r="AG144" s="2"/>
      <c r="AK144" s="2"/>
      <c r="AL144" s="2"/>
      <c r="AN144" s="2"/>
    </row>
    <row r="145" spans="1:40" ht="14.25" customHeight="1" x14ac:dyDescent="0.25">
      <c r="A145" s="42">
        <f t="shared" si="73"/>
        <v>14</v>
      </c>
      <c r="B145" s="42" t="str">
        <f>TEXT(REPORTE[[#This Row],[Fecha]],"MMMM")</f>
        <v>Abril</v>
      </c>
      <c r="C145" s="42" t="str">
        <f>IFERROR(VLOOKUP(REPORTE[[#This Row],[Lote]],PROYECCION[],3,FALSE),"")</f>
        <v/>
      </c>
      <c r="D145" s="47" t="str">
        <f>IFERROR(VLOOKUP(REPORTE[[#This Row],[Lote]],PROYECCION[],2,FALSE),"")</f>
        <v/>
      </c>
      <c r="E145" s="65"/>
      <c r="F145" s="53" t="str">
        <f>IFERROR(VLOOKUP(REPORTE[[#This Row],[Lote]],PROYECCION[],5,FALSE),"")</f>
        <v/>
      </c>
      <c r="G145" s="42" t="str">
        <f>IFERROR(VLOOKUP(REPORTE[[#This Row],[Lote]],PROYECCION[],4,FALSE),"")</f>
        <v/>
      </c>
      <c r="H145" s="42" t="str">
        <f>IFERROR(VLOOKUP(REPORTE[[#This Row],[Lote]],PROYECCION[],6,FALSE),"")</f>
        <v/>
      </c>
      <c r="I145" s="96" t="s">
        <v>170</v>
      </c>
      <c r="J145" s="15">
        <f>SUM($S$138)*REPORTE[[#This Row],[% Calibre]]</f>
        <v>219.99999999999889</v>
      </c>
      <c r="K145" s="44">
        <v>0.15277777777777701</v>
      </c>
      <c r="L145" s="42"/>
      <c r="M145" s="47"/>
      <c r="N145" s="84">
        <v>45388</v>
      </c>
      <c r="O145" s="85"/>
      <c r="P145" s="48" t="str">
        <f t="shared" si="74"/>
        <v/>
      </c>
      <c r="Q145" s="56">
        <f t="shared" si="75"/>
        <v>0</v>
      </c>
      <c r="R145" s="86"/>
      <c r="S145" s="57">
        <f t="shared" si="76"/>
        <v>0</v>
      </c>
      <c r="T145" s="87"/>
      <c r="U145" s="58">
        <f t="shared" si="77"/>
        <v>0</v>
      </c>
      <c r="V145" s="87"/>
      <c r="W145" s="57">
        <f t="shared" si="78"/>
        <v>0</v>
      </c>
      <c r="X145" s="87"/>
      <c r="Y145" s="59"/>
      <c r="Z145" s="15">
        <f t="shared" si="79"/>
        <v>0</v>
      </c>
      <c r="AA145" s="15" t="str">
        <f t="shared" si="80"/>
        <v/>
      </c>
      <c r="AB145" s="69" t="str">
        <f>IFERROR(REPORTE[[#This Row],[Kg Exportados]]/REPORTE[[#This Row],[Ha]],"")</f>
        <v/>
      </c>
      <c r="AC145" s="65" t="str">
        <f>IFERROR(VLOOKUP(REPORTE[[#This Row],[Lote]],PROYECCION[],16,FALSE),"")</f>
        <v/>
      </c>
      <c r="AD145" s="66" t="s">
        <v>32</v>
      </c>
      <c r="AE145" s="2"/>
      <c r="AG145" s="2"/>
      <c r="AK145" s="2"/>
      <c r="AL145" s="2"/>
      <c r="AN145" s="2"/>
    </row>
    <row r="146" spans="1:40" ht="14.25" customHeight="1" x14ac:dyDescent="0.25">
      <c r="A146" s="42">
        <f t="shared" si="65"/>
        <v>14</v>
      </c>
      <c r="B146" s="42" t="str">
        <f>TEXT(REPORTE[[#This Row],[Fecha]],"MMMM")</f>
        <v>Abril</v>
      </c>
      <c r="C146" s="42" t="str">
        <f>IFERROR(VLOOKUP(REPORTE[[#This Row],[Lote]],PROYECCION[],3,FALSE),"")</f>
        <v>Don Nico</v>
      </c>
      <c r="D146" s="47" t="str">
        <f>IFERROR(VLOOKUP(REPORTE[[#This Row],[Lote]],PROYECCION[],2,FALSE),"")</f>
        <v>Agricola Guili S.A.C</v>
      </c>
      <c r="E146" s="65" t="s">
        <v>45</v>
      </c>
      <c r="F146" s="53">
        <f>IFERROR(VLOOKUP(REPORTE[[#This Row],[Lote]],PROYECCION[],5,FALSE),"")</f>
        <v>11.756302521008404</v>
      </c>
      <c r="G146" s="42" t="str">
        <f>IFERROR(VLOOKUP(REPORTE[[#This Row],[Lote]],PROYECCION[],4,FALSE),"")</f>
        <v>Hass</v>
      </c>
      <c r="H146" s="42" t="str">
        <f>IFERROR(VLOOKUP(REPORTE[[#This Row],[Lote]],PROYECCION[],6,FALSE),"")</f>
        <v>Negra</v>
      </c>
      <c r="I146" s="96"/>
      <c r="J146" s="15"/>
      <c r="K146" s="44"/>
      <c r="L146" s="42" t="s">
        <v>175</v>
      </c>
      <c r="M146" s="47" t="s">
        <v>177</v>
      </c>
      <c r="N146" s="84">
        <v>45388</v>
      </c>
      <c r="O146" s="85">
        <v>59</v>
      </c>
      <c r="P146" s="48">
        <f t="shared" si="66"/>
        <v>417.36440677966101</v>
      </c>
      <c r="Q146" s="56">
        <f t="shared" si="67"/>
        <v>2322.7692906470793</v>
      </c>
      <c r="R146" s="86">
        <v>24624.5</v>
      </c>
      <c r="S146" s="57">
        <f t="shared" si="68"/>
        <v>23227.692906470795</v>
      </c>
      <c r="T146" s="87">
        <v>0.94327571753622597</v>
      </c>
      <c r="U146" s="58">
        <f t="shared" si="69"/>
        <v>515.57024669673956</v>
      </c>
      <c r="V146" s="87">
        <v>2.0937287932617499E-2</v>
      </c>
      <c r="W146" s="57">
        <f t="shared" si="70"/>
        <v>881.23684683246074</v>
      </c>
      <c r="X146" s="87">
        <v>3.5786994531156399E-2</v>
      </c>
      <c r="Y146" s="59"/>
      <c r="Z146" s="15">
        <f t="shared" si="71"/>
        <v>24624.5</v>
      </c>
      <c r="AA146" s="15">
        <f t="shared" si="72"/>
        <v>2094.5786275911364</v>
      </c>
      <c r="AB146" s="69">
        <f>IFERROR(REPORTE[[#This Row],[Kg Exportados]]/REPORTE[[#This Row],[Ha]],"")</f>
        <v>1975.7651578770724</v>
      </c>
      <c r="AC146" s="65" t="str">
        <f>IFERROR(VLOOKUP(REPORTE[[#This Row],[Lote]],PROYECCION[],16,FALSE),"")</f>
        <v>Cosechando</v>
      </c>
      <c r="AD146" s="66" t="s">
        <v>72</v>
      </c>
      <c r="AE146" s="2"/>
      <c r="AG146" s="2"/>
      <c r="AK146" s="2"/>
      <c r="AL146" s="2"/>
      <c r="AN146" s="2"/>
    </row>
    <row r="147" spans="1:40" ht="14.25" customHeight="1" x14ac:dyDescent="0.25">
      <c r="A147" s="42">
        <f t="shared" si="65"/>
        <v>14</v>
      </c>
      <c r="B147" s="42" t="str">
        <f>TEXT(REPORTE[[#This Row],[Fecha]],"MMMM")</f>
        <v>Abril</v>
      </c>
      <c r="C147" s="42" t="str">
        <f>IFERROR(VLOOKUP(REPORTE[[#This Row],[Lote]],PROYECCION[],3,FALSE),"")</f>
        <v>El Marsano</v>
      </c>
      <c r="D147" s="47" t="str">
        <f>IFERROR(VLOOKUP(REPORTE[[#This Row],[Lote]],PROYECCION[],2,FALSE),"")</f>
        <v>Agricola Guili S.A.C</v>
      </c>
      <c r="E147" s="65" t="s">
        <v>13</v>
      </c>
      <c r="F147" s="53">
        <f>IFERROR(VLOOKUP(REPORTE[[#This Row],[Lote]],PROYECCION[],5,FALSE),"")</f>
        <v>13.41</v>
      </c>
      <c r="G147" s="42" t="str">
        <f>IFERROR(VLOOKUP(REPORTE[[#This Row],[Lote]],PROYECCION[],4,FALSE),"")</f>
        <v>Hass</v>
      </c>
      <c r="H147" s="42" t="str">
        <f>IFERROR(VLOOKUP(REPORTE[[#This Row],[Lote]],PROYECCION[],6,FALSE),"")</f>
        <v>Negra</v>
      </c>
      <c r="I147" s="96"/>
      <c r="J147" s="15"/>
      <c r="K147" s="44"/>
      <c r="L147" s="42" t="s">
        <v>178</v>
      </c>
      <c r="M147" s="47" t="s">
        <v>177</v>
      </c>
      <c r="N147" s="84">
        <v>45388</v>
      </c>
      <c r="O147" s="85">
        <v>1</v>
      </c>
      <c r="P147" s="48">
        <f t="shared" si="66"/>
        <v>426.5</v>
      </c>
      <c r="Q147" s="56">
        <f t="shared" si="67"/>
        <v>40.230709352920037</v>
      </c>
      <c r="R147" s="86">
        <v>426.5</v>
      </c>
      <c r="S147" s="57">
        <f t="shared" si="68"/>
        <v>402.30709352920036</v>
      </c>
      <c r="T147" s="87">
        <v>0.94327571753622597</v>
      </c>
      <c r="U147" s="58">
        <f t="shared" si="69"/>
        <v>8.9297533032613643</v>
      </c>
      <c r="V147" s="87">
        <v>2.0937287932617499E-2</v>
      </c>
      <c r="W147" s="57">
        <f t="shared" si="70"/>
        <v>15.263153167538205</v>
      </c>
      <c r="X147" s="87">
        <v>3.5786994531156399E-2</v>
      </c>
      <c r="Y147" s="59"/>
      <c r="Z147" s="15">
        <f t="shared" si="71"/>
        <v>426.5</v>
      </c>
      <c r="AA147" s="15">
        <f t="shared" si="72"/>
        <v>31.804623415361672</v>
      </c>
      <c r="AB147" s="69">
        <f>IFERROR(REPORTE[[#This Row],[Kg Exportados]]/REPORTE[[#This Row],[Ha]],"")</f>
        <v>30.000528973094731</v>
      </c>
      <c r="AC147" s="65" t="str">
        <f>IFERROR(VLOOKUP(REPORTE[[#This Row],[Lote]],PROYECCION[],16,FALSE),"")</f>
        <v>Cosechando</v>
      </c>
      <c r="AD147" s="66" t="s">
        <v>72</v>
      </c>
      <c r="AE147" s="2"/>
      <c r="AG147" s="2"/>
      <c r="AK147" s="2"/>
      <c r="AL147" s="2"/>
      <c r="AN147" s="2"/>
    </row>
    <row r="148" spans="1:40" ht="14.25" customHeight="1" x14ac:dyDescent="0.25">
      <c r="A148" s="42">
        <f t="shared" ref="A148:A163" si="81">WEEKNUM(N148)</f>
        <v>14</v>
      </c>
      <c r="B148" s="42" t="str">
        <f>TEXT(REPORTE[[#This Row],[Fecha]],"MMMM")</f>
        <v>Abril</v>
      </c>
      <c r="C148" s="42" t="str">
        <f>IFERROR(VLOOKUP(REPORTE[[#This Row],[Lote]],PROYECCION[],3,FALSE),"")</f>
        <v/>
      </c>
      <c r="D148" s="47" t="str">
        <f>IFERROR(VLOOKUP(REPORTE[[#This Row],[Lote]],PROYECCION[],2,FALSE),"")</f>
        <v/>
      </c>
      <c r="E148" s="65"/>
      <c r="F148" s="53" t="str">
        <f>IFERROR(VLOOKUP(REPORTE[[#This Row],[Lote]],PROYECCION[],5,FALSE),"")</f>
        <v/>
      </c>
      <c r="G148" s="42" t="str">
        <f>IFERROR(VLOOKUP(REPORTE[[#This Row],[Lote]],PROYECCION[],4,FALSE),"")</f>
        <v/>
      </c>
      <c r="H148" s="42" t="str">
        <f>IFERROR(VLOOKUP(REPORTE[[#This Row],[Lote]],PROYECCION[],6,FALSE),"")</f>
        <v/>
      </c>
      <c r="I148" s="96" t="s">
        <v>162</v>
      </c>
      <c r="J148" s="15">
        <f>SUM($S$146:$S$147)*REPORTE[[#This Row],[% Calibre]]</f>
        <v>60.000000000000853</v>
      </c>
      <c r="K148" s="44">
        <v>2.5391451544647002E-3</v>
      </c>
      <c r="L148" s="42"/>
      <c r="M148" s="47"/>
      <c r="N148" s="84">
        <v>45388</v>
      </c>
      <c r="O148" s="85"/>
      <c r="P148" s="48" t="str">
        <f t="shared" ref="P148:P163" si="82">IFERROR((+R148/O148),"")</f>
        <v/>
      </c>
      <c r="Q148" s="56">
        <f t="shared" ref="Q148:Q163" si="83">+S148/10</f>
        <v>0</v>
      </c>
      <c r="R148" s="86"/>
      <c r="S148" s="57">
        <f t="shared" ref="S148:S163" si="84">+R148*T148</f>
        <v>0</v>
      </c>
      <c r="T148" s="87"/>
      <c r="U148" s="58">
        <f t="shared" ref="U148:U163" si="85">R148*V148</f>
        <v>0</v>
      </c>
      <c r="V148" s="87"/>
      <c r="W148" s="57">
        <f t="shared" ref="W148:W163" si="86">R148*X148</f>
        <v>0</v>
      </c>
      <c r="X148" s="87"/>
      <c r="Y148" s="59"/>
      <c r="Z148" s="15">
        <f t="shared" ref="Z148:Z163" si="87">R148+Y148</f>
        <v>0</v>
      </c>
      <c r="AA148" s="15" t="str">
        <f t="shared" ref="AA148:AA163" si="88">IFERROR((Z148/F148),"")</f>
        <v/>
      </c>
      <c r="AB148" s="69" t="str">
        <f>IFERROR(REPORTE[[#This Row],[Kg Exportados]]/REPORTE[[#This Row],[Ha]],"")</f>
        <v/>
      </c>
      <c r="AC148" s="65" t="str">
        <f>IFERROR(VLOOKUP(REPORTE[[#This Row],[Lote]],PROYECCION[],16,FALSE),"")</f>
        <v/>
      </c>
      <c r="AD148" s="66" t="s">
        <v>72</v>
      </c>
      <c r="AE148" s="2"/>
      <c r="AG148" s="2"/>
      <c r="AK148" s="2"/>
      <c r="AL148" s="2"/>
      <c r="AN148" s="2"/>
    </row>
    <row r="149" spans="1:40" ht="14.25" customHeight="1" x14ac:dyDescent="0.25">
      <c r="A149" s="42">
        <f t="shared" si="81"/>
        <v>14</v>
      </c>
      <c r="B149" s="42" t="str">
        <f>TEXT(REPORTE[[#This Row],[Fecha]],"MMMM")</f>
        <v>Abril</v>
      </c>
      <c r="C149" s="42" t="str">
        <f>IFERROR(VLOOKUP(REPORTE[[#This Row],[Lote]],PROYECCION[],3,FALSE),"")</f>
        <v/>
      </c>
      <c r="D149" s="47" t="str">
        <f>IFERROR(VLOOKUP(REPORTE[[#This Row],[Lote]],PROYECCION[],2,FALSE),"")</f>
        <v/>
      </c>
      <c r="E149" s="65"/>
      <c r="F149" s="53" t="str">
        <f>IFERROR(VLOOKUP(REPORTE[[#This Row],[Lote]],PROYECCION[],5,FALSE),"")</f>
        <v/>
      </c>
      <c r="G149" s="42" t="str">
        <f>IFERROR(VLOOKUP(REPORTE[[#This Row],[Lote]],PROYECCION[],4,FALSE),"")</f>
        <v/>
      </c>
      <c r="H149" s="42" t="str">
        <f>IFERROR(VLOOKUP(REPORTE[[#This Row],[Lote]],PROYECCION[],6,FALSE),"")</f>
        <v/>
      </c>
      <c r="I149" s="96" t="s">
        <v>153</v>
      </c>
      <c r="J149" s="15">
        <f>SUM($S$146:$S$147)*REPORTE[[#This Row],[% Calibre]]</f>
        <v>970.0000000000008</v>
      </c>
      <c r="K149" s="44">
        <v>4.10495133305121E-2</v>
      </c>
      <c r="L149" s="42"/>
      <c r="M149" s="47"/>
      <c r="N149" s="84">
        <v>45388</v>
      </c>
      <c r="O149" s="85"/>
      <c r="P149" s="48" t="str">
        <f t="shared" si="82"/>
        <v/>
      </c>
      <c r="Q149" s="56">
        <f t="shared" si="83"/>
        <v>0</v>
      </c>
      <c r="R149" s="86"/>
      <c r="S149" s="57">
        <f t="shared" si="84"/>
        <v>0</v>
      </c>
      <c r="T149" s="87"/>
      <c r="U149" s="58">
        <f t="shared" si="85"/>
        <v>0</v>
      </c>
      <c r="V149" s="87"/>
      <c r="W149" s="57">
        <f t="shared" si="86"/>
        <v>0</v>
      </c>
      <c r="X149" s="87"/>
      <c r="Y149" s="59"/>
      <c r="Z149" s="15">
        <f t="shared" si="87"/>
        <v>0</v>
      </c>
      <c r="AA149" s="15" t="str">
        <f t="shared" si="88"/>
        <v/>
      </c>
      <c r="AB149" s="69" t="str">
        <f>IFERROR(REPORTE[[#This Row],[Kg Exportados]]/REPORTE[[#This Row],[Ha]],"")</f>
        <v/>
      </c>
      <c r="AC149" s="65" t="str">
        <f>IFERROR(VLOOKUP(REPORTE[[#This Row],[Lote]],PROYECCION[],16,FALSE),"")</f>
        <v/>
      </c>
      <c r="AD149" s="66" t="s">
        <v>72</v>
      </c>
      <c r="AE149" s="2"/>
      <c r="AG149" s="2"/>
      <c r="AK149" s="2"/>
      <c r="AL149" s="2"/>
      <c r="AN149" s="2"/>
    </row>
    <row r="150" spans="1:40" ht="14.25" customHeight="1" x14ac:dyDescent="0.25">
      <c r="A150" s="42">
        <f t="shared" si="81"/>
        <v>14</v>
      </c>
      <c r="B150" s="42" t="str">
        <f>TEXT(REPORTE[[#This Row],[Fecha]],"MMMM")</f>
        <v>Abril</v>
      </c>
      <c r="C150" s="42" t="str">
        <f>IFERROR(VLOOKUP(REPORTE[[#This Row],[Lote]],PROYECCION[],3,FALSE),"")</f>
        <v/>
      </c>
      <c r="D150" s="47" t="str">
        <f>IFERROR(VLOOKUP(REPORTE[[#This Row],[Lote]],PROYECCION[],2,FALSE),"")</f>
        <v/>
      </c>
      <c r="E150" s="65"/>
      <c r="F150" s="53" t="str">
        <f>IFERROR(VLOOKUP(REPORTE[[#This Row],[Lote]],PROYECCION[],5,FALSE),"")</f>
        <v/>
      </c>
      <c r="G150" s="42" t="str">
        <f>IFERROR(VLOOKUP(REPORTE[[#This Row],[Lote]],PROYECCION[],4,FALSE),"")</f>
        <v/>
      </c>
      <c r="H150" s="42" t="str">
        <f>IFERROR(VLOOKUP(REPORTE[[#This Row],[Lote]],PROYECCION[],6,FALSE),"")</f>
        <v/>
      </c>
      <c r="I150" s="96" t="s">
        <v>163</v>
      </c>
      <c r="J150" s="15">
        <f>SUM($S$146:$S$147)*REPORTE[[#This Row],[% Calibre]]</f>
        <v>579.99999999999875</v>
      </c>
      <c r="K150" s="44">
        <v>2.4545069826491701E-2</v>
      </c>
      <c r="L150" s="42"/>
      <c r="M150" s="47"/>
      <c r="N150" s="84">
        <v>45388</v>
      </c>
      <c r="O150" s="85"/>
      <c r="P150" s="48" t="str">
        <f t="shared" si="82"/>
        <v/>
      </c>
      <c r="Q150" s="56">
        <f t="shared" si="83"/>
        <v>0</v>
      </c>
      <c r="R150" s="86"/>
      <c r="S150" s="57">
        <f t="shared" si="84"/>
        <v>0</v>
      </c>
      <c r="T150" s="87"/>
      <c r="U150" s="58">
        <f t="shared" si="85"/>
        <v>0</v>
      </c>
      <c r="V150" s="87"/>
      <c r="W150" s="57">
        <f t="shared" si="86"/>
        <v>0</v>
      </c>
      <c r="X150" s="87"/>
      <c r="Y150" s="59"/>
      <c r="Z150" s="15">
        <f t="shared" si="87"/>
        <v>0</v>
      </c>
      <c r="AA150" s="15" t="str">
        <f t="shared" si="88"/>
        <v/>
      </c>
      <c r="AB150" s="69" t="str">
        <f>IFERROR(REPORTE[[#This Row],[Kg Exportados]]/REPORTE[[#This Row],[Ha]],"")</f>
        <v/>
      </c>
      <c r="AC150" s="65" t="str">
        <f>IFERROR(VLOOKUP(REPORTE[[#This Row],[Lote]],PROYECCION[],16,FALSE),"")</f>
        <v/>
      </c>
      <c r="AD150" s="66" t="s">
        <v>72</v>
      </c>
      <c r="AE150" s="2"/>
      <c r="AG150" s="2"/>
      <c r="AK150" s="2"/>
      <c r="AL150" s="2"/>
      <c r="AN150" s="2"/>
    </row>
    <row r="151" spans="1:40" ht="14.25" customHeight="1" x14ac:dyDescent="0.25">
      <c r="A151" s="42">
        <f t="shared" si="81"/>
        <v>14</v>
      </c>
      <c r="B151" s="42" t="str">
        <f>TEXT(REPORTE[[#This Row],[Fecha]],"MMMM")</f>
        <v>Abril</v>
      </c>
      <c r="C151" s="42" t="str">
        <f>IFERROR(VLOOKUP(REPORTE[[#This Row],[Lote]],PROYECCION[],3,FALSE),"")</f>
        <v/>
      </c>
      <c r="D151" s="47" t="str">
        <f>IFERROR(VLOOKUP(REPORTE[[#This Row],[Lote]],PROYECCION[],2,FALSE),"")</f>
        <v/>
      </c>
      <c r="E151" s="65"/>
      <c r="F151" s="53" t="str">
        <f>IFERROR(VLOOKUP(REPORTE[[#This Row],[Lote]],PROYECCION[],5,FALSE),"")</f>
        <v/>
      </c>
      <c r="G151" s="42" t="str">
        <f>IFERROR(VLOOKUP(REPORTE[[#This Row],[Lote]],PROYECCION[],4,FALSE),"")</f>
        <v/>
      </c>
      <c r="H151" s="42" t="str">
        <f>IFERROR(VLOOKUP(REPORTE[[#This Row],[Lote]],PROYECCION[],6,FALSE),"")</f>
        <v/>
      </c>
      <c r="I151" s="96" t="s">
        <v>164</v>
      </c>
      <c r="J151" s="15">
        <f>SUM($S$146:$S$147)*REPORTE[[#This Row],[% Calibre]]</f>
        <v>2469.9999999999841</v>
      </c>
      <c r="K151" s="44">
        <v>0.104528142192128</v>
      </c>
      <c r="L151" s="42"/>
      <c r="M151" s="47"/>
      <c r="N151" s="84">
        <v>45388</v>
      </c>
      <c r="O151" s="85"/>
      <c r="P151" s="48" t="str">
        <f t="shared" si="82"/>
        <v/>
      </c>
      <c r="Q151" s="56">
        <f t="shared" si="83"/>
        <v>0</v>
      </c>
      <c r="R151" s="86"/>
      <c r="S151" s="57">
        <f t="shared" si="84"/>
        <v>0</v>
      </c>
      <c r="T151" s="87"/>
      <c r="U151" s="58">
        <f t="shared" si="85"/>
        <v>0</v>
      </c>
      <c r="V151" s="87"/>
      <c r="W151" s="57">
        <f t="shared" si="86"/>
        <v>0</v>
      </c>
      <c r="X151" s="87"/>
      <c r="Y151" s="59"/>
      <c r="Z151" s="15">
        <f t="shared" si="87"/>
        <v>0</v>
      </c>
      <c r="AA151" s="15" t="str">
        <f t="shared" si="88"/>
        <v/>
      </c>
      <c r="AB151" s="69" t="str">
        <f>IFERROR(REPORTE[[#This Row],[Kg Exportados]]/REPORTE[[#This Row],[Ha]],"")</f>
        <v/>
      </c>
      <c r="AC151" s="65" t="str">
        <f>IFERROR(VLOOKUP(REPORTE[[#This Row],[Lote]],PROYECCION[],16,FALSE),"")</f>
        <v/>
      </c>
      <c r="AD151" s="66" t="s">
        <v>72</v>
      </c>
      <c r="AE151" s="2"/>
      <c r="AG151" s="2"/>
      <c r="AK151" s="2"/>
      <c r="AL151" s="2"/>
      <c r="AN151" s="2"/>
    </row>
    <row r="152" spans="1:40" ht="14.25" customHeight="1" x14ac:dyDescent="0.25">
      <c r="A152" s="42">
        <f t="shared" si="81"/>
        <v>14</v>
      </c>
      <c r="B152" s="42" t="str">
        <f>TEXT(REPORTE[[#This Row],[Fecha]],"MMMM")</f>
        <v>Abril</v>
      </c>
      <c r="C152" s="42" t="str">
        <f>IFERROR(VLOOKUP(REPORTE[[#This Row],[Lote]],PROYECCION[],3,FALSE),"")</f>
        <v/>
      </c>
      <c r="D152" s="47" t="str">
        <f>IFERROR(VLOOKUP(REPORTE[[#This Row],[Lote]],PROYECCION[],2,FALSE),"")</f>
        <v/>
      </c>
      <c r="E152" s="65"/>
      <c r="F152" s="53" t="str">
        <f>IFERROR(VLOOKUP(REPORTE[[#This Row],[Lote]],PROYECCION[],5,FALSE),"")</f>
        <v/>
      </c>
      <c r="G152" s="42" t="str">
        <f>IFERROR(VLOOKUP(REPORTE[[#This Row],[Lote]],PROYECCION[],4,FALSE),"")</f>
        <v/>
      </c>
      <c r="H152" s="42" t="str">
        <f>IFERROR(VLOOKUP(REPORTE[[#This Row],[Lote]],PROYECCION[],6,FALSE),"")</f>
        <v/>
      </c>
      <c r="I152" s="96" t="s">
        <v>154</v>
      </c>
      <c r="J152" s="15">
        <f>SUM($S$146:$S$147)*REPORTE[[#This Row],[% Calibre]]</f>
        <v>3869.9999999999804</v>
      </c>
      <c r="K152" s="44">
        <v>0.16377486246296999</v>
      </c>
      <c r="L152" s="42"/>
      <c r="M152" s="47"/>
      <c r="N152" s="84">
        <v>45388</v>
      </c>
      <c r="O152" s="85"/>
      <c r="P152" s="48" t="str">
        <f t="shared" si="82"/>
        <v/>
      </c>
      <c r="Q152" s="56">
        <f t="shared" si="83"/>
        <v>0</v>
      </c>
      <c r="R152" s="86"/>
      <c r="S152" s="57">
        <f t="shared" si="84"/>
        <v>0</v>
      </c>
      <c r="T152" s="87"/>
      <c r="U152" s="58">
        <f t="shared" si="85"/>
        <v>0</v>
      </c>
      <c r="V152" s="87"/>
      <c r="W152" s="57">
        <f t="shared" si="86"/>
        <v>0</v>
      </c>
      <c r="X152" s="87"/>
      <c r="Y152" s="59"/>
      <c r="Z152" s="15">
        <f t="shared" si="87"/>
        <v>0</v>
      </c>
      <c r="AA152" s="15" t="str">
        <f t="shared" si="88"/>
        <v/>
      </c>
      <c r="AB152" s="69" t="str">
        <f>IFERROR(REPORTE[[#This Row],[Kg Exportados]]/REPORTE[[#This Row],[Ha]],"")</f>
        <v/>
      </c>
      <c r="AC152" s="65" t="str">
        <f>IFERROR(VLOOKUP(REPORTE[[#This Row],[Lote]],PROYECCION[],16,FALSE),"")</f>
        <v/>
      </c>
      <c r="AD152" s="66" t="s">
        <v>72</v>
      </c>
      <c r="AE152" s="2"/>
      <c r="AG152" s="2"/>
      <c r="AK152" s="2"/>
      <c r="AL152" s="2"/>
      <c r="AN152" s="2"/>
    </row>
    <row r="153" spans="1:40" ht="14.25" customHeight="1" x14ac:dyDescent="0.25">
      <c r="A153" s="42">
        <f t="shared" si="81"/>
        <v>14</v>
      </c>
      <c r="B153" s="42" t="str">
        <f>TEXT(REPORTE[[#This Row],[Fecha]],"MMMM")</f>
        <v>Abril</v>
      </c>
      <c r="C153" s="42" t="str">
        <f>IFERROR(VLOOKUP(REPORTE[[#This Row],[Lote]],PROYECCION[],3,FALSE),"")</f>
        <v/>
      </c>
      <c r="D153" s="47" t="str">
        <f>IFERROR(VLOOKUP(REPORTE[[#This Row],[Lote]],PROYECCION[],2,FALSE),"")</f>
        <v/>
      </c>
      <c r="E153" s="65"/>
      <c r="F153" s="53" t="str">
        <f>IFERROR(VLOOKUP(REPORTE[[#This Row],[Lote]],PROYECCION[],5,FALSE),"")</f>
        <v/>
      </c>
      <c r="G153" s="42" t="str">
        <f>IFERROR(VLOOKUP(REPORTE[[#This Row],[Lote]],PROYECCION[],4,FALSE),"")</f>
        <v/>
      </c>
      <c r="H153" s="42" t="str">
        <f>IFERROR(VLOOKUP(REPORTE[[#This Row],[Lote]],PROYECCION[],6,FALSE),"")</f>
        <v/>
      </c>
      <c r="I153" s="96" t="s">
        <v>155</v>
      </c>
      <c r="J153" s="15">
        <f>SUM($S$146:$S$147)*REPORTE[[#This Row],[% Calibre]]</f>
        <v>4109.9999999999891</v>
      </c>
      <c r="K153" s="44">
        <v>0.173931443080829</v>
      </c>
      <c r="L153" s="42"/>
      <c r="M153" s="47"/>
      <c r="N153" s="84">
        <v>45388</v>
      </c>
      <c r="O153" s="85"/>
      <c r="P153" s="48" t="str">
        <f t="shared" si="82"/>
        <v/>
      </c>
      <c r="Q153" s="56">
        <f t="shared" si="83"/>
        <v>0</v>
      </c>
      <c r="R153" s="86"/>
      <c r="S153" s="57">
        <f t="shared" si="84"/>
        <v>0</v>
      </c>
      <c r="T153" s="87"/>
      <c r="U153" s="58">
        <f t="shared" si="85"/>
        <v>0</v>
      </c>
      <c r="V153" s="87"/>
      <c r="W153" s="57">
        <f t="shared" si="86"/>
        <v>0</v>
      </c>
      <c r="X153" s="87"/>
      <c r="Y153" s="59"/>
      <c r="Z153" s="15">
        <f t="shared" si="87"/>
        <v>0</v>
      </c>
      <c r="AA153" s="15" t="str">
        <f t="shared" si="88"/>
        <v/>
      </c>
      <c r="AB153" s="69" t="str">
        <f>IFERROR(REPORTE[[#This Row],[Kg Exportados]]/REPORTE[[#This Row],[Ha]],"")</f>
        <v/>
      </c>
      <c r="AC153" s="65" t="str">
        <f>IFERROR(VLOOKUP(REPORTE[[#This Row],[Lote]],PROYECCION[],16,FALSE),"")</f>
        <v/>
      </c>
      <c r="AD153" s="66" t="s">
        <v>72</v>
      </c>
      <c r="AE153" s="2"/>
      <c r="AG153" s="2"/>
      <c r="AK153" s="2"/>
      <c r="AL153" s="2"/>
      <c r="AN153" s="2"/>
    </row>
    <row r="154" spans="1:40" ht="14.25" customHeight="1" x14ac:dyDescent="0.25">
      <c r="A154" s="42">
        <f t="shared" si="81"/>
        <v>14</v>
      </c>
      <c r="B154" s="42" t="str">
        <f>TEXT(REPORTE[[#This Row],[Fecha]],"MMMM")</f>
        <v>Abril</v>
      </c>
      <c r="C154" s="42" t="str">
        <f>IFERROR(VLOOKUP(REPORTE[[#This Row],[Lote]],PROYECCION[],3,FALSE),"")</f>
        <v/>
      </c>
      <c r="D154" s="47" t="str">
        <f>IFERROR(VLOOKUP(REPORTE[[#This Row],[Lote]],PROYECCION[],2,FALSE),"")</f>
        <v/>
      </c>
      <c r="E154" s="65"/>
      <c r="F154" s="53" t="str">
        <f>IFERROR(VLOOKUP(REPORTE[[#This Row],[Lote]],PROYECCION[],5,FALSE),"")</f>
        <v/>
      </c>
      <c r="G154" s="42" t="str">
        <f>IFERROR(VLOOKUP(REPORTE[[#This Row],[Lote]],PROYECCION[],4,FALSE),"")</f>
        <v/>
      </c>
      <c r="H154" s="42" t="str">
        <f>IFERROR(VLOOKUP(REPORTE[[#This Row],[Lote]],PROYECCION[],6,FALSE),"")</f>
        <v/>
      </c>
      <c r="I154" s="96" t="s">
        <v>165</v>
      </c>
      <c r="J154" s="15">
        <f>SUM($S$146:$S$147)*REPORTE[[#This Row],[% Calibre]]</f>
        <v>3239.99999999998</v>
      </c>
      <c r="K154" s="44">
        <v>0.137113838341091</v>
      </c>
      <c r="L154" s="42"/>
      <c r="M154" s="47"/>
      <c r="N154" s="84">
        <v>45388</v>
      </c>
      <c r="O154" s="85"/>
      <c r="P154" s="48" t="str">
        <f t="shared" si="82"/>
        <v/>
      </c>
      <c r="Q154" s="56">
        <f t="shared" si="83"/>
        <v>0</v>
      </c>
      <c r="R154" s="86"/>
      <c r="S154" s="57">
        <f t="shared" si="84"/>
        <v>0</v>
      </c>
      <c r="T154" s="87"/>
      <c r="U154" s="58">
        <f t="shared" si="85"/>
        <v>0</v>
      </c>
      <c r="V154" s="87"/>
      <c r="W154" s="57">
        <f t="shared" si="86"/>
        <v>0</v>
      </c>
      <c r="X154" s="87"/>
      <c r="Y154" s="59"/>
      <c r="Z154" s="15">
        <f t="shared" si="87"/>
        <v>0</v>
      </c>
      <c r="AA154" s="15" t="str">
        <f t="shared" si="88"/>
        <v/>
      </c>
      <c r="AB154" s="69" t="str">
        <f>IFERROR(REPORTE[[#This Row],[Kg Exportados]]/REPORTE[[#This Row],[Ha]],"")</f>
        <v/>
      </c>
      <c r="AC154" s="65" t="str">
        <f>IFERROR(VLOOKUP(REPORTE[[#This Row],[Lote]],PROYECCION[],16,FALSE),"")</f>
        <v/>
      </c>
      <c r="AD154" s="66" t="s">
        <v>72</v>
      </c>
      <c r="AE154" s="2"/>
      <c r="AG154" s="2"/>
      <c r="AK154" s="2"/>
      <c r="AL154" s="2"/>
      <c r="AN154" s="2"/>
    </row>
    <row r="155" spans="1:40" ht="14.25" customHeight="1" x14ac:dyDescent="0.25">
      <c r="A155" s="42">
        <f t="shared" si="81"/>
        <v>14</v>
      </c>
      <c r="B155" s="42" t="str">
        <f>TEXT(REPORTE[[#This Row],[Fecha]],"MMMM")</f>
        <v>Abril</v>
      </c>
      <c r="C155" s="42" t="str">
        <f>IFERROR(VLOOKUP(REPORTE[[#This Row],[Lote]],PROYECCION[],3,FALSE),"")</f>
        <v/>
      </c>
      <c r="D155" s="47" t="str">
        <f>IFERROR(VLOOKUP(REPORTE[[#This Row],[Lote]],PROYECCION[],2,FALSE),"")</f>
        <v/>
      </c>
      <c r="E155" s="65"/>
      <c r="F155" s="53" t="str">
        <f>IFERROR(VLOOKUP(REPORTE[[#This Row],[Lote]],PROYECCION[],5,FALSE),"")</f>
        <v/>
      </c>
      <c r="G155" s="42" t="str">
        <f>IFERROR(VLOOKUP(REPORTE[[#This Row],[Lote]],PROYECCION[],4,FALSE),"")</f>
        <v/>
      </c>
      <c r="H155" s="42" t="str">
        <f>IFERROR(VLOOKUP(REPORTE[[#This Row],[Lote]],PROYECCION[],6,FALSE),"")</f>
        <v/>
      </c>
      <c r="I155" s="96" t="s">
        <v>166</v>
      </c>
      <c r="J155" s="15">
        <f>SUM($S$146:$S$147)*REPORTE[[#This Row],[% Calibre]]</f>
        <v>3349.9999999999823</v>
      </c>
      <c r="K155" s="44">
        <v>0.14176893779094299</v>
      </c>
      <c r="L155" s="42"/>
      <c r="M155" s="47"/>
      <c r="N155" s="84">
        <v>45388</v>
      </c>
      <c r="O155" s="85"/>
      <c r="P155" s="48" t="str">
        <f t="shared" si="82"/>
        <v/>
      </c>
      <c r="Q155" s="56">
        <f t="shared" si="83"/>
        <v>0</v>
      </c>
      <c r="R155" s="86"/>
      <c r="S155" s="57">
        <f t="shared" si="84"/>
        <v>0</v>
      </c>
      <c r="T155" s="87"/>
      <c r="U155" s="58">
        <f t="shared" si="85"/>
        <v>0</v>
      </c>
      <c r="V155" s="87"/>
      <c r="W155" s="57">
        <f t="shared" si="86"/>
        <v>0</v>
      </c>
      <c r="X155" s="87"/>
      <c r="Y155" s="59"/>
      <c r="Z155" s="15">
        <f t="shared" si="87"/>
        <v>0</v>
      </c>
      <c r="AA155" s="15" t="str">
        <f t="shared" si="88"/>
        <v/>
      </c>
      <c r="AB155" s="69" t="str">
        <f>IFERROR(REPORTE[[#This Row],[Kg Exportados]]/REPORTE[[#This Row],[Ha]],"")</f>
        <v/>
      </c>
      <c r="AC155" s="65" t="str">
        <f>IFERROR(VLOOKUP(REPORTE[[#This Row],[Lote]],PROYECCION[],16,FALSE),"")</f>
        <v/>
      </c>
      <c r="AD155" s="66" t="s">
        <v>72</v>
      </c>
      <c r="AE155" s="2"/>
      <c r="AG155" s="2"/>
      <c r="AK155" s="2"/>
      <c r="AL155" s="2"/>
      <c r="AN155" s="2"/>
    </row>
    <row r="156" spans="1:40" ht="14.25" customHeight="1" x14ac:dyDescent="0.25">
      <c r="A156" s="42">
        <f t="shared" si="81"/>
        <v>14</v>
      </c>
      <c r="B156" s="42" t="str">
        <f>TEXT(REPORTE[[#This Row],[Fecha]],"MMMM")</f>
        <v>Abril</v>
      </c>
      <c r="C156" s="42" t="str">
        <f>IFERROR(VLOOKUP(REPORTE[[#This Row],[Lote]],PROYECCION[],3,FALSE),"")</f>
        <v/>
      </c>
      <c r="D156" s="47" t="str">
        <f>IFERROR(VLOOKUP(REPORTE[[#This Row],[Lote]],PROYECCION[],2,FALSE),"")</f>
        <v/>
      </c>
      <c r="E156" s="65"/>
      <c r="F156" s="53" t="str">
        <f>IFERROR(VLOOKUP(REPORTE[[#This Row],[Lote]],PROYECCION[],5,FALSE),"")</f>
        <v/>
      </c>
      <c r="G156" s="42" t="str">
        <f>IFERROR(VLOOKUP(REPORTE[[#This Row],[Lote]],PROYECCION[],4,FALSE),"")</f>
        <v/>
      </c>
      <c r="H156" s="42" t="str">
        <f>IFERROR(VLOOKUP(REPORTE[[#This Row],[Lote]],PROYECCION[],6,FALSE),"")</f>
        <v/>
      </c>
      <c r="I156" s="96" t="s">
        <v>159</v>
      </c>
      <c r="J156" s="15">
        <f>SUM($S$146:$S$147)*REPORTE[[#This Row],[% Calibre]]</f>
        <v>520.00000000000034</v>
      </c>
      <c r="K156" s="44">
        <v>2.20059246720271E-2</v>
      </c>
      <c r="L156" s="42"/>
      <c r="M156" s="47"/>
      <c r="N156" s="84">
        <v>45388</v>
      </c>
      <c r="O156" s="85"/>
      <c r="P156" s="48" t="str">
        <f t="shared" si="82"/>
        <v/>
      </c>
      <c r="Q156" s="56">
        <f t="shared" si="83"/>
        <v>0</v>
      </c>
      <c r="R156" s="86"/>
      <c r="S156" s="57">
        <f t="shared" si="84"/>
        <v>0</v>
      </c>
      <c r="T156" s="87"/>
      <c r="U156" s="58">
        <f t="shared" si="85"/>
        <v>0</v>
      </c>
      <c r="V156" s="87"/>
      <c r="W156" s="57">
        <f t="shared" si="86"/>
        <v>0</v>
      </c>
      <c r="X156" s="87"/>
      <c r="Y156" s="59"/>
      <c r="Z156" s="15">
        <f t="shared" si="87"/>
        <v>0</v>
      </c>
      <c r="AA156" s="15" t="str">
        <f t="shared" si="88"/>
        <v/>
      </c>
      <c r="AB156" s="69" t="str">
        <f>IFERROR(REPORTE[[#This Row],[Kg Exportados]]/REPORTE[[#This Row],[Ha]],"")</f>
        <v/>
      </c>
      <c r="AC156" s="65" t="str">
        <f>IFERROR(VLOOKUP(REPORTE[[#This Row],[Lote]],PROYECCION[],16,FALSE),"")</f>
        <v/>
      </c>
      <c r="AD156" s="66" t="s">
        <v>72</v>
      </c>
      <c r="AE156" s="2"/>
      <c r="AG156" s="2"/>
      <c r="AK156" s="2"/>
      <c r="AL156" s="2"/>
      <c r="AN156" s="2"/>
    </row>
    <row r="157" spans="1:40" ht="14.25" customHeight="1" x14ac:dyDescent="0.25">
      <c r="A157" s="42">
        <f t="shared" si="81"/>
        <v>14</v>
      </c>
      <c r="B157" s="42" t="str">
        <f>TEXT(REPORTE[[#This Row],[Fecha]],"MMMM")</f>
        <v>Abril</v>
      </c>
      <c r="C157" s="42" t="str">
        <f>IFERROR(VLOOKUP(REPORTE[[#This Row],[Lote]],PROYECCION[],3,FALSE),"")</f>
        <v/>
      </c>
      <c r="D157" s="47" t="str">
        <f>IFERROR(VLOOKUP(REPORTE[[#This Row],[Lote]],PROYECCION[],2,FALSE),"")</f>
        <v/>
      </c>
      <c r="E157" s="65"/>
      <c r="F157" s="53" t="str">
        <f>IFERROR(VLOOKUP(REPORTE[[#This Row],[Lote]],PROYECCION[],5,FALSE),"")</f>
        <v/>
      </c>
      <c r="G157" s="42" t="str">
        <f>IFERROR(VLOOKUP(REPORTE[[#This Row],[Lote]],PROYECCION[],4,FALSE),"")</f>
        <v/>
      </c>
      <c r="H157" s="42" t="str">
        <f>IFERROR(VLOOKUP(REPORTE[[#This Row],[Lote]],PROYECCION[],6,FALSE),"")</f>
        <v/>
      </c>
      <c r="I157" s="96" t="s">
        <v>167</v>
      </c>
      <c r="J157" s="15">
        <f>SUM($S$146:$S$147)*REPORTE[[#This Row],[% Calibre]]</f>
        <v>2009.9999999999989</v>
      </c>
      <c r="K157" s="44">
        <v>8.5061362674566196E-2</v>
      </c>
      <c r="L157" s="42"/>
      <c r="M157" s="47"/>
      <c r="N157" s="84">
        <v>45388</v>
      </c>
      <c r="O157" s="85"/>
      <c r="P157" s="48" t="str">
        <f t="shared" si="82"/>
        <v/>
      </c>
      <c r="Q157" s="56">
        <f t="shared" si="83"/>
        <v>0</v>
      </c>
      <c r="R157" s="86"/>
      <c r="S157" s="57">
        <f t="shared" si="84"/>
        <v>0</v>
      </c>
      <c r="T157" s="87"/>
      <c r="U157" s="58">
        <f t="shared" si="85"/>
        <v>0</v>
      </c>
      <c r="V157" s="87"/>
      <c r="W157" s="57">
        <f t="shared" si="86"/>
        <v>0</v>
      </c>
      <c r="X157" s="87"/>
      <c r="Y157" s="59"/>
      <c r="Z157" s="15">
        <f t="shared" si="87"/>
        <v>0</v>
      </c>
      <c r="AA157" s="15" t="str">
        <f t="shared" si="88"/>
        <v/>
      </c>
      <c r="AB157" s="69" t="str">
        <f>IFERROR(REPORTE[[#This Row],[Kg Exportados]]/REPORTE[[#This Row],[Ha]],"")</f>
        <v/>
      </c>
      <c r="AC157" s="65" t="str">
        <f>IFERROR(VLOOKUP(REPORTE[[#This Row],[Lote]],PROYECCION[],16,FALSE),"")</f>
        <v/>
      </c>
      <c r="AD157" s="66" t="s">
        <v>72</v>
      </c>
      <c r="AE157" s="2"/>
      <c r="AG157" s="2"/>
      <c r="AK157" s="2"/>
      <c r="AL157" s="2"/>
      <c r="AN157" s="2"/>
    </row>
    <row r="158" spans="1:40" ht="14.25" customHeight="1" x14ac:dyDescent="0.25">
      <c r="A158" s="42">
        <f t="shared" si="81"/>
        <v>14</v>
      </c>
      <c r="B158" s="42" t="str">
        <f>TEXT(REPORTE[[#This Row],[Fecha]],"MMMM")</f>
        <v>Abril</v>
      </c>
      <c r="C158" s="42" t="str">
        <f>IFERROR(VLOOKUP(REPORTE[[#This Row],[Lote]],PROYECCION[],3,FALSE),"")</f>
        <v/>
      </c>
      <c r="D158" s="47" t="str">
        <f>IFERROR(VLOOKUP(REPORTE[[#This Row],[Lote]],PROYECCION[],2,FALSE),"")</f>
        <v/>
      </c>
      <c r="E158" s="65"/>
      <c r="F158" s="53" t="str">
        <f>IFERROR(VLOOKUP(REPORTE[[#This Row],[Lote]],PROYECCION[],5,FALSE),"")</f>
        <v/>
      </c>
      <c r="G158" s="42" t="str">
        <f>IFERROR(VLOOKUP(REPORTE[[#This Row],[Lote]],PROYECCION[],4,FALSE),"")</f>
        <v/>
      </c>
      <c r="H158" s="42" t="str">
        <f>IFERROR(VLOOKUP(REPORTE[[#This Row],[Lote]],PROYECCION[],6,FALSE),"")</f>
        <v/>
      </c>
      <c r="I158" s="96" t="s">
        <v>168</v>
      </c>
      <c r="J158" s="15">
        <f>SUM($S$146:$S$147)*REPORTE[[#This Row],[% Calibre]]</f>
        <v>619.99999999999943</v>
      </c>
      <c r="K158" s="44">
        <v>2.6237833262801501E-2</v>
      </c>
      <c r="L158" s="42"/>
      <c r="M158" s="47"/>
      <c r="N158" s="84">
        <v>45388</v>
      </c>
      <c r="O158" s="85"/>
      <c r="P158" s="48" t="str">
        <f t="shared" si="82"/>
        <v/>
      </c>
      <c r="Q158" s="56">
        <f t="shared" si="83"/>
        <v>0</v>
      </c>
      <c r="R158" s="86"/>
      <c r="S158" s="57">
        <f t="shared" si="84"/>
        <v>0</v>
      </c>
      <c r="T158" s="87"/>
      <c r="U158" s="58">
        <f t="shared" si="85"/>
        <v>0</v>
      </c>
      <c r="V158" s="87"/>
      <c r="W158" s="57">
        <f t="shared" si="86"/>
        <v>0</v>
      </c>
      <c r="X158" s="87"/>
      <c r="Y158" s="59"/>
      <c r="Z158" s="15">
        <f t="shared" si="87"/>
        <v>0</v>
      </c>
      <c r="AA158" s="15" t="str">
        <f t="shared" si="88"/>
        <v/>
      </c>
      <c r="AB158" s="69" t="str">
        <f>IFERROR(REPORTE[[#This Row],[Kg Exportados]]/REPORTE[[#This Row],[Ha]],"")</f>
        <v/>
      </c>
      <c r="AC158" s="65" t="str">
        <f>IFERROR(VLOOKUP(REPORTE[[#This Row],[Lote]],PROYECCION[],16,FALSE),"")</f>
        <v/>
      </c>
      <c r="AD158" s="66" t="s">
        <v>72</v>
      </c>
      <c r="AE158" s="2"/>
      <c r="AG158" s="2"/>
      <c r="AK158" s="2"/>
      <c r="AL158" s="2"/>
      <c r="AN158" s="2"/>
    </row>
    <row r="159" spans="1:40" ht="14.25" customHeight="1" x14ac:dyDescent="0.25">
      <c r="A159" s="42">
        <f t="shared" si="81"/>
        <v>14</v>
      </c>
      <c r="B159" s="42" t="str">
        <f>TEXT(REPORTE[[#This Row],[Fecha]],"MMMM")</f>
        <v>Abril</v>
      </c>
      <c r="C159" s="42" t="str">
        <f>IFERROR(VLOOKUP(REPORTE[[#This Row],[Lote]],PROYECCION[],3,FALSE),"")</f>
        <v/>
      </c>
      <c r="D159" s="47" t="str">
        <f>IFERROR(VLOOKUP(REPORTE[[#This Row],[Lote]],PROYECCION[],2,FALSE),"")</f>
        <v/>
      </c>
      <c r="E159" s="65"/>
      <c r="F159" s="53" t="str">
        <f>IFERROR(VLOOKUP(REPORTE[[#This Row],[Lote]],PROYECCION[],5,FALSE),"")</f>
        <v/>
      </c>
      <c r="G159" s="42" t="str">
        <f>IFERROR(VLOOKUP(REPORTE[[#This Row],[Lote]],PROYECCION[],4,FALSE),"")</f>
        <v/>
      </c>
      <c r="H159" s="42" t="str">
        <f>IFERROR(VLOOKUP(REPORTE[[#This Row],[Lote]],PROYECCION[],6,FALSE),"")</f>
        <v/>
      </c>
      <c r="I159" s="96" t="s">
        <v>160</v>
      </c>
      <c r="J159" s="15">
        <f>SUM($S$146:$S$147)*REPORTE[[#This Row],[% Calibre]]</f>
        <v>290.00000000000057</v>
      </c>
      <c r="K159" s="44">
        <v>1.2272534913245901E-2</v>
      </c>
      <c r="L159" s="42"/>
      <c r="M159" s="47"/>
      <c r="N159" s="84">
        <v>45388</v>
      </c>
      <c r="O159" s="85"/>
      <c r="P159" s="48" t="str">
        <f t="shared" si="82"/>
        <v/>
      </c>
      <c r="Q159" s="56">
        <f t="shared" si="83"/>
        <v>0</v>
      </c>
      <c r="R159" s="86"/>
      <c r="S159" s="57">
        <f t="shared" si="84"/>
        <v>0</v>
      </c>
      <c r="T159" s="87"/>
      <c r="U159" s="58">
        <f t="shared" si="85"/>
        <v>0</v>
      </c>
      <c r="V159" s="87"/>
      <c r="W159" s="57">
        <f t="shared" si="86"/>
        <v>0</v>
      </c>
      <c r="X159" s="87"/>
      <c r="Y159" s="59"/>
      <c r="Z159" s="15">
        <f t="shared" si="87"/>
        <v>0</v>
      </c>
      <c r="AA159" s="15" t="str">
        <f t="shared" si="88"/>
        <v/>
      </c>
      <c r="AB159" s="69" t="str">
        <f>IFERROR(REPORTE[[#This Row],[Kg Exportados]]/REPORTE[[#This Row],[Ha]],"")</f>
        <v/>
      </c>
      <c r="AC159" s="65" t="str">
        <f>IFERROR(VLOOKUP(REPORTE[[#This Row],[Lote]],PROYECCION[],16,FALSE),"")</f>
        <v/>
      </c>
      <c r="AD159" s="66" t="s">
        <v>72</v>
      </c>
      <c r="AE159" s="2"/>
      <c r="AG159" s="2"/>
      <c r="AK159" s="2"/>
      <c r="AL159" s="2"/>
      <c r="AN159" s="2"/>
    </row>
    <row r="160" spans="1:40" ht="14.25" customHeight="1" x14ac:dyDescent="0.25">
      <c r="A160" s="42">
        <f t="shared" si="81"/>
        <v>14</v>
      </c>
      <c r="B160" s="42" t="str">
        <f>TEXT(REPORTE[[#This Row],[Fecha]],"MMMM")</f>
        <v>Abril</v>
      </c>
      <c r="C160" s="42" t="str">
        <f>IFERROR(VLOOKUP(REPORTE[[#This Row],[Lote]],PROYECCION[],3,FALSE),"")</f>
        <v/>
      </c>
      <c r="D160" s="47" t="str">
        <f>IFERROR(VLOOKUP(REPORTE[[#This Row],[Lote]],PROYECCION[],2,FALSE),"")</f>
        <v/>
      </c>
      <c r="E160" s="65"/>
      <c r="F160" s="53" t="str">
        <f>IFERROR(VLOOKUP(REPORTE[[#This Row],[Lote]],PROYECCION[],5,FALSE),"")</f>
        <v/>
      </c>
      <c r="G160" s="42" t="str">
        <f>IFERROR(VLOOKUP(REPORTE[[#This Row],[Lote]],PROYECCION[],4,FALSE),"")</f>
        <v/>
      </c>
      <c r="H160" s="42" t="str">
        <f>IFERROR(VLOOKUP(REPORTE[[#This Row],[Lote]],PROYECCION[],6,FALSE),"")</f>
        <v/>
      </c>
      <c r="I160" s="96" t="s">
        <v>169</v>
      </c>
      <c r="J160" s="15">
        <f>SUM($S$146:$S$147)*REPORTE[[#This Row],[% Calibre]]</f>
        <v>490.00000000000102</v>
      </c>
      <c r="K160" s="44">
        <v>2.07363520947948E-2</v>
      </c>
      <c r="L160" s="42"/>
      <c r="M160" s="47"/>
      <c r="N160" s="84">
        <v>45388</v>
      </c>
      <c r="O160" s="85"/>
      <c r="P160" s="48" t="str">
        <f t="shared" si="82"/>
        <v/>
      </c>
      <c r="Q160" s="56">
        <f t="shared" si="83"/>
        <v>0</v>
      </c>
      <c r="R160" s="86"/>
      <c r="S160" s="57">
        <f t="shared" si="84"/>
        <v>0</v>
      </c>
      <c r="T160" s="87"/>
      <c r="U160" s="58">
        <f t="shared" si="85"/>
        <v>0</v>
      </c>
      <c r="V160" s="87"/>
      <c r="W160" s="57">
        <f t="shared" si="86"/>
        <v>0</v>
      </c>
      <c r="X160" s="87"/>
      <c r="Y160" s="59"/>
      <c r="Z160" s="15">
        <f t="shared" si="87"/>
        <v>0</v>
      </c>
      <c r="AA160" s="15" t="str">
        <f t="shared" si="88"/>
        <v/>
      </c>
      <c r="AB160" s="69" t="str">
        <f>IFERROR(REPORTE[[#This Row],[Kg Exportados]]/REPORTE[[#This Row],[Ha]],"")</f>
        <v/>
      </c>
      <c r="AC160" s="65" t="str">
        <f>IFERROR(VLOOKUP(REPORTE[[#This Row],[Lote]],PROYECCION[],16,FALSE),"")</f>
        <v/>
      </c>
      <c r="AD160" s="66" t="s">
        <v>72</v>
      </c>
      <c r="AE160" s="2"/>
      <c r="AG160" s="2"/>
      <c r="AK160" s="2"/>
      <c r="AL160" s="2"/>
      <c r="AN160" s="2"/>
    </row>
    <row r="161" spans="1:40" ht="14.25" customHeight="1" x14ac:dyDescent="0.25">
      <c r="A161" s="42">
        <f t="shared" si="81"/>
        <v>14</v>
      </c>
      <c r="B161" s="42" t="str">
        <f>TEXT(REPORTE[[#This Row],[Fecha]],"MMMM")</f>
        <v>Abril</v>
      </c>
      <c r="C161" s="42" t="str">
        <f>IFERROR(VLOOKUP(REPORTE[[#This Row],[Lote]],PROYECCION[],3,FALSE),"")</f>
        <v/>
      </c>
      <c r="D161" s="47" t="str">
        <f>IFERROR(VLOOKUP(REPORTE[[#This Row],[Lote]],PROYECCION[],2,FALSE),"")</f>
        <v/>
      </c>
      <c r="E161" s="65"/>
      <c r="F161" s="53" t="str">
        <f>IFERROR(VLOOKUP(REPORTE[[#This Row],[Lote]],PROYECCION[],5,FALSE),"")</f>
        <v/>
      </c>
      <c r="G161" s="42" t="str">
        <f>IFERROR(VLOOKUP(REPORTE[[#This Row],[Lote]],PROYECCION[],4,FALSE),"")</f>
        <v/>
      </c>
      <c r="H161" s="42" t="str">
        <f>IFERROR(VLOOKUP(REPORTE[[#This Row],[Lote]],PROYECCION[],6,FALSE),"")</f>
        <v/>
      </c>
      <c r="I161" s="96" t="s">
        <v>170</v>
      </c>
      <c r="J161" s="15">
        <f>SUM($S$146:$S$147)*REPORTE[[#This Row],[% Calibre]]</f>
        <v>439.99999999999915</v>
      </c>
      <c r="K161" s="44">
        <v>1.8620397799407499E-2</v>
      </c>
      <c r="L161" s="42"/>
      <c r="M161" s="47"/>
      <c r="N161" s="84">
        <v>45388</v>
      </c>
      <c r="O161" s="85"/>
      <c r="P161" s="48" t="str">
        <f t="shared" si="82"/>
        <v/>
      </c>
      <c r="Q161" s="56">
        <f t="shared" si="83"/>
        <v>0</v>
      </c>
      <c r="R161" s="86"/>
      <c r="S161" s="57">
        <f t="shared" si="84"/>
        <v>0</v>
      </c>
      <c r="T161" s="87"/>
      <c r="U161" s="58">
        <f t="shared" si="85"/>
        <v>0</v>
      </c>
      <c r="V161" s="87"/>
      <c r="W161" s="57">
        <f t="shared" si="86"/>
        <v>0</v>
      </c>
      <c r="X161" s="87"/>
      <c r="Y161" s="59"/>
      <c r="Z161" s="15">
        <f t="shared" si="87"/>
        <v>0</v>
      </c>
      <c r="AA161" s="15" t="str">
        <f t="shared" si="88"/>
        <v/>
      </c>
      <c r="AB161" s="69" t="str">
        <f>IFERROR(REPORTE[[#This Row],[Kg Exportados]]/REPORTE[[#This Row],[Ha]],"")</f>
        <v/>
      </c>
      <c r="AC161" s="65" t="str">
        <f>IFERROR(VLOOKUP(REPORTE[[#This Row],[Lote]],PROYECCION[],16,FALSE),"")</f>
        <v/>
      </c>
      <c r="AD161" s="66" t="s">
        <v>72</v>
      </c>
      <c r="AE161" s="2"/>
      <c r="AG161" s="2"/>
      <c r="AK161" s="2"/>
      <c r="AL161" s="2"/>
      <c r="AN161" s="2"/>
    </row>
    <row r="162" spans="1:40" ht="14.25" customHeight="1" x14ac:dyDescent="0.25">
      <c r="A162" s="42">
        <f t="shared" si="81"/>
        <v>14</v>
      </c>
      <c r="B162" s="42" t="str">
        <f>TEXT(REPORTE[[#This Row],[Fecha]],"MMMM")</f>
        <v>Abril</v>
      </c>
      <c r="C162" s="42" t="str">
        <f>IFERROR(VLOOKUP(REPORTE[[#This Row],[Lote]],PROYECCION[],3,FALSE),"")</f>
        <v/>
      </c>
      <c r="D162" s="47" t="str">
        <f>IFERROR(VLOOKUP(REPORTE[[#This Row],[Lote]],PROYECCION[],2,FALSE),"")</f>
        <v/>
      </c>
      <c r="E162" s="65"/>
      <c r="F162" s="53" t="str">
        <f>IFERROR(VLOOKUP(REPORTE[[#This Row],[Lote]],PROYECCION[],5,FALSE),"")</f>
        <v/>
      </c>
      <c r="G162" s="42" t="str">
        <f>IFERROR(VLOOKUP(REPORTE[[#This Row],[Lote]],PROYECCION[],4,FALSE),"")</f>
        <v/>
      </c>
      <c r="H162" s="42" t="str">
        <f>IFERROR(VLOOKUP(REPORTE[[#This Row],[Lote]],PROYECCION[],6,FALSE),"")</f>
        <v/>
      </c>
      <c r="I162" s="96" t="s">
        <v>171</v>
      </c>
      <c r="J162" s="15">
        <f>SUM($S$146:$S$147)*REPORTE[[#This Row],[% Calibre]]</f>
        <v>610.00000000000045</v>
      </c>
      <c r="K162" s="44">
        <v>2.5814642403724102E-2</v>
      </c>
      <c r="L162" s="42"/>
      <c r="M162" s="47"/>
      <c r="N162" s="84">
        <v>45388</v>
      </c>
      <c r="O162" s="85"/>
      <c r="P162" s="48" t="str">
        <f t="shared" si="82"/>
        <v/>
      </c>
      <c r="Q162" s="56">
        <f t="shared" si="83"/>
        <v>0</v>
      </c>
      <c r="R162" s="86"/>
      <c r="S162" s="57">
        <f t="shared" si="84"/>
        <v>0</v>
      </c>
      <c r="T162" s="87"/>
      <c r="U162" s="58">
        <f t="shared" si="85"/>
        <v>0</v>
      </c>
      <c r="V162" s="87"/>
      <c r="W162" s="57">
        <f t="shared" si="86"/>
        <v>0</v>
      </c>
      <c r="X162" s="87"/>
      <c r="Y162" s="59"/>
      <c r="Z162" s="15">
        <f t="shared" si="87"/>
        <v>0</v>
      </c>
      <c r="AA162" s="15" t="str">
        <f t="shared" si="88"/>
        <v/>
      </c>
      <c r="AB162" s="69" t="str">
        <f>IFERROR(REPORTE[[#This Row],[Kg Exportados]]/REPORTE[[#This Row],[Ha]],"")</f>
        <v/>
      </c>
      <c r="AC162" s="65" t="str">
        <f>IFERROR(VLOOKUP(REPORTE[[#This Row],[Lote]],PROYECCION[],16,FALSE),"")</f>
        <v/>
      </c>
      <c r="AD162" s="66" t="s">
        <v>72</v>
      </c>
      <c r="AE162" s="2"/>
      <c r="AG162" s="2"/>
      <c r="AK162" s="2"/>
      <c r="AL162" s="2"/>
      <c r="AN162" s="2"/>
    </row>
    <row r="163" spans="1:40" ht="14.25" customHeight="1" x14ac:dyDescent="0.25">
      <c r="A163" s="42">
        <f t="shared" si="81"/>
        <v>15</v>
      </c>
      <c r="B163" s="42" t="str">
        <f>TEXT(REPORTE[[#This Row],[Fecha]],"MMMM")</f>
        <v>Abril</v>
      </c>
      <c r="C163" s="42" t="str">
        <f>IFERROR(VLOOKUP(REPORTE[[#This Row],[Lote]],PROYECCION[],3,FALSE),"")</f>
        <v>El Marsano</v>
      </c>
      <c r="D163" s="47" t="str">
        <f>IFERROR(VLOOKUP(REPORTE[[#This Row],[Lote]],PROYECCION[],2,FALSE),"")</f>
        <v>Agricola Guili S.A.C</v>
      </c>
      <c r="E163" s="65" t="s">
        <v>13</v>
      </c>
      <c r="F163" s="53">
        <f>IFERROR(VLOOKUP(REPORTE[[#This Row],[Lote]],PROYECCION[],5,FALSE),"")</f>
        <v>13.41</v>
      </c>
      <c r="G163" s="42" t="str">
        <f>IFERROR(VLOOKUP(REPORTE[[#This Row],[Lote]],PROYECCION[],4,FALSE),"")</f>
        <v>Hass</v>
      </c>
      <c r="H163" s="42" t="str">
        <f>IFERROR(VLOOKUP(REPORTE[[#This Row],[Lote]],PROYECCION[],6,FALSE),"")</f>
        <v>Negra</v>
      </c>
      <c r="I163" s="96"/>
      <c r="J163" s="15"/>
      <c r="K163" s="44"/>
      <c r="L163" s="42" t="s">
        <v>181</v>
      </c>
      <c r="M163" s="47" t="s">
        <v>182</v>
      </c>
      <c r="N163" s="84">
        <v>45390</v>
      </c>
      <c r="O163" s="85">
        <v>27</v>
      </c>
      <c r="P163" s="48">
        <f t="shared" si="82"/>
        <v>441.2962962962963</v>
      </c>
      <c r="Q163" s="56">
        <f t="shared" si="83"/>
        <v>1088.8628417037496</v>
      </c>
      <c r="R163" s="86">
        <v>11915</v>
      </c>
      <c r="S163" s="57">
        <f t="shared" si="84"/>
        <v>10888.628417037497</v>
      </c>
      <c r="T163" s="87">
        <v>0.91385886840432196</v>
      </c>
      <c r="U163" s="58">
        <f t="shared" si="85"/>
        <v>574.25679434202129</v>
      </c>
      <c r="V163" s="87">
        <v>4.8196122059758401E-2</v>
      </c>
      <c r="W163" s="57">
        <f t="shared" si="86"/>
        <v>452.11478862047016</v>
      </c>
      <c r="X163" s="87">
        <v>3.7945009535918603E-2</v>
      </c>
      <c r="Y163" s="59"/>
      <c r="Z163" s="15">
        <f t="shared" si="87"/>
        <v>11915</v>
      </c>
      <c r="AA163" s="15">
        <f t="shared" si="88"/>
        <v>888.51603281133487</v>
      </c>
      <c r="AB163" s="69">
        <f>IFERROR(REPORTE[[#This Row],[Kg Exportados]]/REPORTE[[#This Row],[Ha]],"")</f>
        <v>811.97825630406385</v>
      </c>
      <c r="AC163" s="65" t="str">
        <f>IFERROR(VLOOKUP(REPORTE[[#This Row],[Lote]],PROYECCION[],16,FALSE),"")</f>
        <v>Cosechando</v>
      </c>
      <c r="AD163" s="66" t="s">
        <v>32</v>
      </c>
      <c r="AE163" s="2"/>
      <c r="AG163" s="2"/>
      <c r="AK163" s="2"/>
      <c r="AL163" s="2"/>
      <c r="AN163" s="2"/>
    </row>
    <row r="164" spans="1:40" ht="14.25" customHeight="1" x14ac:dyDescent="0.25">
      <c r="A164" s="42">
        <f t="shared" ref="A164:A200" si="89">WEEKNUM(N164)</f>
        <v>15</v>
      </c>
      <c r="B164" s="42" t="str">
        <f>TEXT(REPORTE[[#This Row],[Fecha]],"MMMM")</f>
        <v>Abril</v>
      </c>
      <c r="C164" s="42" t="str">
        <f>IFERROR(VLOOKUP(REPORTE[[#This Row],[Lote]],PROYECCION[],3,FALSE),"")</f>
        <v>El Marsano</v>
      </c>
      <c r="D164" s="47" t="str">
        <f>IFERROR(VLOOKUP(REPORTE[[#This Row],[Lote]],PROYECCION[],2,FALSE),"")</f>
        <v>Agricola Guili S.A.C</v>
      </c>
      <c r="E164" s="65" t="s">
        <v>17</v>
      </c>
      <c r="F164" s="53">
        <f>IFERROR(VLOOKUP(REPORTE[[#This Row],[Lote]],PROYECCION[],5,FALSE),"")</f>
        <v>26.08</v>
      </c>
      <c r="G164" s="42" t="str">
        <f>IFERROR(VLOOKUP(REPORTE[[#This Row],[Lote]],PROYECCION[],4,FALSE),"")</f>
        <v>Hass</v>
      </c>
      <c r="H164" s="42" t="str">
        <f>IFERROR(VLOOKUP(REPORTE[[#This Row],[Lote]],PROYECCION[],6,FALSE),"")</f>
        <v>Negra</v>
      </c>
      <c r="I164" s="96"/>
      <c r="J164" s="15"/>
      <c r="K164" s="44"/>
      <c r="L164" s="42" t="s">
        <v>181</v>
      </c>
      <c r="M164" s="47" t="s">
        <v>182</v>
      </c>
      <c r="N164" s="84">
        <v>45390</v>
      </c>
      <c r="O164" s="85">
        <v>33</v>
      </c>
      <c r="P164" s="48">
        <f t="shared" ref="P164:P200" si="90">IFERROR((+R164/O164),"")</f>
        <v>439.030303030303</v>
      </c>
      <c r="Q164" s="56">
        <f t="shared" ref="Q164:Q200" si="91">+S164/10</f>
        <v>1323.9987285441816</v>
      </c>
      <c r="R164" s="86">
        <v>14488</v>
      </c>
      <c r="S164" s="57">
        <f t="shared" ref="S164:S200" si="92">+R164*T164</f>
        <v>13239.987285441817</v>
      </c>
      <c r="T164" s="87">
        <v>0.91385886840432196</v>
      </c>
      <c r="U164" s="58">
        <f t="shared" ref="U164:U200" si="93">R164*V164</f>
        <v>698.2654164017797</v>
      </c>
      <c r="V164" s="87">
        <v>4.8196122059758401E-2</v>
      </c>
      <c r="W164" s="57">
        <f t="shared" ref="W164:W200" si="94">R164*X164</f>
        <v>549.74729815638875</v>
      </c>
      <c r="X164" s="87">
        <v>3.7945009535918603E-2</v>
      </c>
      <c r="Y164" s="59"/>
      <c r="Z164" s="15">
        <f t="shared" ref="Z164:Z200" si="95">R164+Y164</f>
        <v>14488</v>
      </c>
      <c r="AA164" s="15">
        <f t="shared" ref="AA164:AA200" si="96">IFERROR((Z164/F164),"")</f>
        <v>555.52147239263809</v>
      </c>
      <c r="AB164" s="69">
        <f>IFERROR(REPORTE[[#This Row],[Kg Exportados]]/REPORTE[[#This Row],[Ha]],"")</f>
        <v>507.66822413503905</v>
      </c>
      <c r="AC164" s="65" t="str">
        <f>IFERROR(VLOOKUP(REPORTE[[#This Row],[Lote]],PROYECCION[],16,FALSE),"")</f>
        <v>Cosechando</v>
      </c>
      <c r="AD164" s="66" t="s">
        <v>32</v>
      </c>
      <c r="AE164" s="2"/>
      <c r="AG164" s="2"/>
      <c r="AK164" s="2"/>
      <c r="AL164" s="2"/>
      <c r="AN164" s="2"/>
    </row>
    <row r="165" spans="1:40" ht="14.25" customHeight="1" x14ac:dyDescent="0.25">
      <c r="A165" s="42">
        <f t="shared" si="89"/>
        <v>15</v>
      </c>
      <c r="B165" s="42" t="str">
        <f>TEXT(REPORTE[[#This Row],[Fecha]],"MMMM")</f>
        <v>Abril</v>
      </c>
      <c r="C165" s="42" t="str">
        <f>IFERROR(VLOOKUP(REPORTE[[#This Row],[Lote]],PROYECCION[],3,FALSE),"")</f>
        <v>El Marsano</v>
      </c>
      <c r="D165" s="47" t="str">
        <f>IFERROR(VLOOKUP(REPORTE[[#This Row],[Lote]],PROYECCION[],2,FALSE),"")</f>
        <v>Agricola Guili S.A.C</v>
      </c>
      <c r="E165" s="65" t="s">
        <v>13</v>
      </c>
      <c r="F165" s="53">
        <f>IFERROR(VLOOKUP(REPORTE[[#This Row],[Lote]],PROYECCION[],5,FALSE),"")</f>
        <v>13.41</v>
      </c>
      <c r="G165" s="42" t="str">
        <f>IFERROR(VLOOKUP(REPORTE[[#This Row],[Lote]],PROYECCION[],4,FALSE),"")</f>
        <v>Hass</v>
      </c>
      <c r="H165" s="42" t="str">
        <f>IFERROR(VLOOKUP(REPORTE[[#This Row],[Lote]],PROYECCION[],6,FALSE),"")</f>
        <v>Negra</v>
      </c>
      <c r="I165" s="96"/>
      <c r="J165" s="15"/>
      <c r="K165" s="44"/>
      <c r="L165" s="42" t="s">
        <v>183</v>
      </c>
      <c r="M165" s="47" t="s">
        <v>182</v>
      </c>
      <c r="N165" s="84">
        <v>45390</v>
      </c>
      <c r="O165" s="85">
        <v>45</v>
      </c>
      <c r="P165" s="48">
        <f t="shared" si="90"/>
        <v>403.43333333333334</v>
      </c>
      <c r="Q165" s="56">
        <f t="shared" si="91"/>
        <v>1659.0650826446265</v>
      </c>
      <c r="R165" s="86">
        <v>18154.5</v>
      </c>
      <c r="S165" s="57">
        <f t="shared" si="92"/>
        <v>16590.650826446265</v>
      </c>
      <c r="T165" s="87">
        <v>0.91385886840432196</v>
      </c>
      <c r="U165" s="58">
        <f t="shared" si="93"/>
        <v>874.97649793388393</v>
      </c>
      <c r="V165" s="87">
        <v>4.8196122059758401E-2</v>
      </c>
      <c r="W165" s="57">
        <f t="shared" si="94"/>
        <v>688.87267561983424</v>
      </c>
      <c r="X165" s="87">
        <v>3.7945009535918603E-2</v>
      </c>
      <c r="Y165" s="59"/>
      <c r="Z165" s="15">
        <f t="shared" si="95"/>
        <v>18154.5</v>
      </c>
      <c r="AA165" s="15">
        <f t="shared" si="96"/>
        <v>1353.8031319910515</v>
      </c>
      <c r="AB165" s="69">
        <f>IFERROR(REPORTE[[#This Row],[Kg Exportados]]/REPORTE[[#This Row],[Ha]],"")</f>
        <v>1237.1849982435692</v>
      </c>
      <c r="AC165" s="65" t="str">
        <f>IFERROR(VLOOKUP(REPORTE[[#This Row],[Lote]],PROYECCION[],16,FALSE),"")</f>
        <v>Cosechando</v>
      </c>
      <c r="AD165" s="66" t="s">
        <v>32</v>
      </c>
      <c r="AE165" s="2"/>
      <c r="AG165" s="2"/>
      <c r="AK165" s="2"/>
      <c r="AL165" s="2"/>
      <c r="AN165" s="2"/>
    </row>
    <row r="166" spans="1:40" ht="14.25" customHeight="1" x14ac:dyDescent="0.25">
      <c r="A166" s="42">
        <f t="shared" si="89"/>
        <v>15</v>
      </c>
      <c r="B166" s="42" t="str">
        <f>TEXT(REPORTE[[#This Row],[Fecha]],"MMMM")</f>
        <v>Abril</v>
      </c>
      <c r="C166" s="42" t="str">
        <f>IFERROR(VLOOKUP(REPORTE[[#This Row],[Lote]],PROYECCION[],3,FALSE),"")</f>
        <v>El Marsano</v>
      </c>
      <c r="D166" s="47" t="str">
        <f>IFERROR(VLOOKUP(REPORTE[[#This Row],[Lote]],PROYECCION[],2,FALSE),"")</f>
        <v>Agricola Guili S.A.C</v>
      </c>
      <c r="E166" s="65" t="s">
        <v>17</v>
      </c>
      <c r="F166" s="53">
        <f>IFERROR(VLOOKUP(REPORTE[[#This Row],[Lote]],PROYECCION[],5,FALSE),"")</f>
        <v>26.08</v>
      </c>
      <c r="G166" s="42" t="str">
        <f>IFERROR(VLOOKUP(REPORTE[[#This Row],[Lote]],PROYECCION[],4,FALSE),"")</f>
        <v>Hass</v>
      </c>
      <c r="H166" s="42" t="str">
        <f>IFERROR(VLOOKUP(REPORTE[[#This Row],[Lote]],PROYECCION[],6,FALSE),"")</f>
        <v>Negra</v>
      </c>
      <c r="I166" s="96"/>
      <c r="J166" s="15"/>
      <c r="K166" s="44"/>
      <c r="L166" s="42" t="s">
        <v>183</v>
      </c>
      <c r="M166" s="47" t="s">
        <v>182</v>
      </c>
      <c r="N166" s="84">
        <v>45390</v>
      </c>
      <c r="O166" s="85">
        <v>15</v>
      </c>
      <c r="P166" s="48">
        <f t="shared" si="90"/>
        <v>385.23333333333335</v>
      </c>
      <c r="Q166" s="56">
        <f t="shared" si="91"/>
        <v>528.07334710743748</v>
      </c>
      <c r="R166" s="86">
        <v>5778.5</v>
      </c>
      <c r="S166" s="57">
        <f t="shared" si="92"/>
        <v>5280.7334710743744</v>
      </c>
      <c r="T166" s="87">
        <v>0.91385886840432196</v>
      </c>
      <c r="U166" s="58">
        <f t="shared" si="93"/>
        <v>278.50129132231393</v>
      </c>
      <c r="V166" s="87">
        <v>4.8196122059758401E-2</v>
      </c>
      <c r="W166" s="57">
        <f t="shared" si="94"/>
        <v>219.26523760330565</v>
      </c>
      <c r="X166" s="87">
        <v>3.7945009535918603E-2</v>
      </c>
      <c r="Y166" s="59"/>
      <c r="Z166" s="15">
        <f t="shared" si="95"/>
        <v>5778.5</v>
      </c>
      <c r="AA166" s="15">
        <f t="shared" si="96"/>
        <v>221.56825153374234</v>
      </c>
      <c r="AB166" s="69">
        <f>IFERROR(REPORTE[[#This Row],[Kg Exportados]]/REPORTE[[#This Row],[Ha]],"")</f>
        <v>202.48211162094995</v>
      </c>
      <c r="AC166" s="65" t="str">
        <f>IFERROR(VLOOKUP(REPORTE[[#This Row],[Lote]],PROYECCION[],16,FALSE),"")</f>
        <v>Cosechando</v>
      </c>
      <c r="AD166" s="66" t="s">
        <v>32</v>
      </c>
      <c r="AE166" s="2"/>
      <c r="AG166" s="2"/>
      <c r="AK166" s="2"/>
      <c r="AL166" s="2"/>
      <c r="AN166" s="2"/>
    </row>
    <row r="167" spans="1:40" ht="14.25" customHeight="1" x14ac:dyDescent="0.25">
      <c r="A167" s="42">
        <f t="shared" si="89"/>
        <v>15</v>
      </c>
      <c r="B167" s="42" t="str">
        <f>TEXT(REPORTE[[#This Row],[Fecha]],"MMMM")</f>
        <v>Abril</v>
      </c>
      <c r="C167" s="42" t="str">
        <f>IFERROR(VLOOKUP(REPORTE[[#This Row],[Lote]],PROYECCION[],3,FALSE),"")</f>
        <v/>
      </c>
      <c r="D167" s="47" t="str">
        <f>IFERROR(VLOOKUP(REPORTE[[#This Row],[Lote]],PROYECCION[],2,FALSE),"")</f>
        <v/>
      </c>
      <c r="E167" s="65"/>
      <c r="F167" s="53" t="str">
        <f>IFERROR(VLOOKUP(REPORTE[[#This Row],[Lote]],PROYECCION[],5,FALSE),"")</f>
        <v/>
      </c>
      <c r="G167" s="42" t="str">
        <f>IFERROR(VLOOKUP(REPORTE[[#This Row],[Lote]],PROYECCION[],4,FALSE),"")</f>
        <v/>
      </c>
      <c r="H167" s="42" t="str">
        <f>IFERROR(VLOOKUP(REPORTE[[#This Row],[Lote]],PROYECCION[],6,FALSE),"")</f>
        <v/>
      </c>
      <c r="I167" s="96" t="s">
        <v>162</v>
      </c>
      <c r="J167" s="15">
        <f>SUM($S$163:$S$166)*REPORTE[[#This Row],[% Calibre]]</f>
        <v>19.999999999999972</v>
      </c>
      <c r="K167" s="94">
        <v>4.3478260869565197E-4</v>
      </c>
      <c r="L167" s="42"/>
      <c r="M167" s="47"/>
      <c r="N167" s="84">
        <v>45390</v>
      </c>
      <c r="O167" s="85"/>
      <c r="P167" s="48" t="str">
        <f t="shared" si="90"/>
        <v/>
      </c>
      <c r="Q167" s="56">
        <f t="shared" si="91"/>
        <v>0</v>
      </c>
      <c r="R167" s="86"/>
      <c r="S167" s="57">
        <f t="shared" si="92"/>
        <v>0</v>
      </c>
      <c r="T167" s="87"/>
      <c r="U167" s="58">
        <f t="shared" si="93"/>
        <v>0</v>
      </c>
      <c r="V167" s="87"/>
      <c r="W167" s="57">
        <f t="shared" si="94"/>
        <v>0</v>
      </c>
      <c r="X167" s="87"/>
      <c r="Y167" s="59"/>
      <c r="Z167" s="15">
        <f t="shared" si="95"/>
        <v>0</v>
      </c>
      <c r="AA167" s="15" t="str">
        <f t="shared" si="96"/>
        <v/>
      </c>
      <c r="AB167" s="69" t="str">
        <f>IFERROR(REPORTE[[#This Row],[Kg Exportados]]/REPORTE[[#This Row],[Ha]],"")</f>
        <v/>
      </c>
      <c r="AC167" s="65" t="str">
        <f>IFERROR(VLOOKUP(REPORTE[[#This Row],[Lote]],PROYECCION[],16,FALSE),"")</f>
        <v/>
      </c>
      <c r="AD167" s="66" t="s">
        <v>32</v>
      </c>
      <c r="AE167" s="2"/>
      <c r="AG167" s="2"/>
      <c r="AK167" s="2"/>
      <c r="AL167" s="2"/>
      <c r="AN167" s="2"/>
    </row>
    <row r="168" spans="1:40" ht="14.25" customHeight="1" x14ac:dyDescent="0.25">
      <c r="A168" s="42">
        <f t="shared" si="89"/>
        <v>15</v>
      </c>
      <c r="B168" s="42" t="str">
        <f>TEXT(REPORTE[[#This Row],[Fecha]],"MMMM")</f>
        <v>Abril</v>
      </c>
      <c r="C168" s="42" t="str">
        <f>IFERROR(VLOOKUP(REPORTE[[#This Row],[Lote]],PROYECCION[],3,FALSE),"")</f>
        <v/>
      </c>
      <c r="D168" s="47" t="str">
        <f>IFERROR(VLOOKUP(REPORTE[[#This Row],[Lote]],PROYECCION[],2,FALSE),"")</f>
        <v/>
      </c>
      <c r="E168" s="65"/>
      <c r="F168" s="53" t="str">
        <f>IFERROR(VLOOKUP(REPORTE[[#This Row],[Lote]],PROYECCION[],5,FALSE),"")</f>
        <v/>
      </c>
      <c r="G168" s="42" t="str">
        <f>IFERROR(VLOOKUP(REPORTE[[#This Row],[Lote]],PROYECCION[],4,FALSE),"")</f>
        <v/>
      </c>
      <c r="H168" s="42" t="str">
        <f>IFERROR(VLOOKUP(REPORTE[[#This Row],[Lote]],PROYECCION[],6,FALSE),"")</f>
        <v/>
      </c>
      <c r="I168" s="96" t="s">
        <v>163</v>
      </c>
      <c r="J168" s="15">
        <f>SUM($S$163:$S$166)*REPORTE[[#This Row],[% Calibre]]</f>
        <v>799.99999999999989</v>
      </c>
      <c r="K168" s="44">
        <v>1.7391304347826101E-2</v>
      </c>
      <c r="L168" s="42"/>
      <c r="M168" s="47"/>
      <c r="N168" s="84">
        <v>45390</v>
      </c>
      <c r="O168" s="85"/>
      <c r="P168" s="48" t="str">
        <f t="shared" si="90"/>
        <v/>
      </c>
      <c r="Q168" s="56">
        <f t="shared" si="91"/>
        <v>0</v>
      </c>
      <c r="R168" s="86"/>
      <c r="S168" s="57">
        <f t="shared" si="92"/>
        <v>0</v>
      </c>
      <c r="T168" s="87"/>
      <c r="U168" s="58">
        <f t="shared" si="93"/>
        <v>0</v>
      </c>
      <c r="V168" s="87"/>
      <c r="W168" s="57">
        <f t="shared" si="94"/>
        <v>0</v>
      </c>
      <c r="X168" s="87"/>
      <c r="Y168" s="59"/>
      <c r="Z168" s="15">
        <f t="shared" si="95"/>
        <v>0</v>
      </c>
      <c r="AA168" s="15" t="str">
        <f t="shared" si="96"/>
        <v/>
      </c>
      <c r="AB168" s="69" t="str">
        <f>IFERROR(REPORTE[[#This Row],[Kg Exportados]]/REPORTE[[#This Row],[Ha]],"")</f>
        <v/>
      </c>
      <c r="AC168" s="65" t="str">
        <f>IFERROR(VLOOKUP(REPORTE[[#This Row],[Lote]],PROYECCION[],16,FALSE),"")</f>
        <v/>
      </c>
      <c r="AD168" s="66" t="s">
        <v>32</v>
      </c>
      <c r="AE168" s="2"/>
      <c r="AG168" s="2"/>
      <c r="AK168" s="2"/>
      <c r="AL168" s="2"/>
      <c r="AN168" s="2"/>
    </row>
    <row r="169" spans="1:40" ht="14.25" customHeight="1" x14ac:dyDescent="0.25">
      <c r="A169" s="42">
        <f t="shared" si="89"/>
        <v>15</v>
      </c>
      <c r="B169" s="42" t="str">
        <f>TEXT(REPORTE[[#This Row],[Fecha]],"MMMM")</f>
        <v>Abril</v>
      </c>
      <c r="C169" s="42" t="str">
        <f>IFERROR(VLOOKUP(REPORTE[[#This Row],[Lote]],PROYECCION[],3,FALSE),"")</f>
        <v/>
      </c>
      <c r="D169" s="47" t="str">
        <f>IFERROR(VLOOKUP(REPORTE[[#This Row],[Lote]],PROYECCION[],2,FALSE),"")</f>
        <v/>
      </c>
      <c r="E169" s="65"/>
      <c r="F169" s="53" t="str">
        <f>IFERROR(VLOOKUP(REPORTE[[#This Row],[Lote]],PROYECCION[],5,FALSE),"")</f>
        <v/>
      </c>
      <c r="G169" s="42" t="str">
        <f>IFERROR(VLOOKUP(REPORTE[[#This Row],[Lote]],PROYECCION[],4,FALSE),"")</f>
        <v/>
      </c>
      <c r="H169" s="42" t="str">
        <f>IFERROR(VLOOKUP(REPORTE[[#This Row],[Lote]],PROYECCION[],6,FALSE),"")</f>
        <v/>
      </c>
      <c r="I169" s="96" t="s">
        <v>164</v>
      </c>
      <c r="J169" s="15">
        <f>SUM($S$163:$S$166)*REPORTE[[#This Row],[% Calibre]]</f>
        <v>3909.9999999999964</v>
      </c>
      <c r="K169" s="44">
        <v>8.5000000000000006E-2</v>
      </c>
      <c r="L169" s="42"/>
      <c r="M169" s="47"/>
      <c r="N169" s="84">
        <v>45390</v>
      </c>
      <c r="O169" s="85"/>
      <c r="P169" s="48" t="str">
        <f t="shared" si="90"/>
        <v/>
      </c>
      <c r="Q169" s="56">
        <f t="shared" si="91"/>
        <v>0</v>
      </c>
      <c r="R169" s="86"/>
      <c r="S169" s="57">
        <f t="shared" si="92"/>
        <v>0</v>
      </c>
      <c r="T169" s="87"/>
      <c r="U169" s="58">
        <f t="shared" si="93"/>
        <v>0</v>
      </c>
      <c r="V169" s="87"/>
      <c r="W169" s="57">
        <f t="shared" si="94"/>
        <v>0</v>
      </c>
      <c r="X169" s="87"/>
      <c r="Y169" s="59"/>
      <c r="Z169" s="15">
        <f t="shared" si="95"/>
        <v>0</v>
      </c>
      <c r="AA169" s="15" t="str">
        <f t="shared" si="96"/>
        <v/>
      </c>
      <c r="AB169" s="69" t="str">
        <f>IFERROR(REPORTE[[#This Row],[Kg Exportados]]/REPORTE[[#This Row],[Ha]],"")</f>
        <v/>
      </c>
      <c r="AC169" s="65" t="str">
        <f>IFERROR(VLOOKUP(REPORTE[[#This Row],[Lote]],PROYECCION[],16,FALSE),"")</f>
        <v/>
      </c>
      <c r="AD169" s="66" t="s">
        <v>32</v>
      </c>
      <c r="AE169" s="2"/>
      <c r="AG169" s="2"/>
      <c r="AK169" s="2"/>
      <c r="AL169" s="2"/>
      <c r="AN169" s="2"/>
    </row>
    <row r="170" spans="1:40" ht="14.25" customHeight="1" x14ac:dyDescent="0.25">
      <c r="A170" s="42">
        <f t="shared" si="89"/>
        <v>15</v>
      </c>
      <c r="B170" s="42" t="str">
        <f>TEXT(REPORTE[[#This Row],[Fecha]],"MMMM")</f>
        <v>Abril</v>
      </c>
      <c r="C170" s="42" t="str">
        <f>IFERROR(VLOOKUP(REPORTE[[#This Row],[Lote]],PROYECCION[],3,FALSE),"")</f>
        <v/>
      </c>
      <c r="D170" s="47" t="str">
        <f>IFERROR(VLOOKUP(REPORTE[[#This Row],[Lote]],PROYECCION[],2,FALSE),"")</f>
        <v/>
      </c>
      <c r="E170" s="65"/>
      <c r="F170" s="53" t="str">
        <f>IFERROR(VLOOKUP(REPORTE[[#This Row],[Lote]],PROYECCION[],5,FALSE),"")</f>
        <v/>
      </c>
      <c r="G170" s="42" t="str">
        <f>IFERROR(VLOOKUP(REPORTE[[#This Row],[Lote]],PROYECCION[],4,FALSE),"")</f>
        <v/>
      </c>
      <c r="H170" s="42" t="str">
        <f>IFERROR(VLOOKUP(REPORTE[[#This Row],[Lote]],PROYECCION[],6,FALSE),"")</f>
        <v/>
      </c>
      <c r="I170" s="96" t="s">
        <v>154</v>
      </c>
      <c r="J170" s="15">
        <f>SUM($S$163:$S$166)*REPORTE[[#This Row],[% Calibre]]</f>
        <v>13099.999999999978</v>
      </c>
      <c r="K170" s="44">
        <v>0.28478260869565197</v>
      </c>
      <c r="L170" s="42"/>
      <c r="M170" s="47"/>
      <c r="N170" s="84">
        <v>45390</v>
      </c>
      <c r="O170" s="85"/>
      <c r="P170" s="48" t="str">
        <f t="shared" si="90"/>
        <v/>
      </c>
      <c r="Q170" s="56">
        <f t="shared" si="91"/>
        <v>0</v>
      </c>
      <c r="R170" s="86"/>
      <c r="S170" s="57">
        <f t="shared" si="92"/>
        <v>0</v>
      </c>
      <c r="T170" s="87"/>
      <c r="U170" s="58">
        <f t="shared" si="93"/>
        <v>0</v>
      </c>
      <c r="V170" s="87"/>
      <c r="W170" s="57">
        <f t="shared" si="94"/>
        <v>0</v>
      </c>
      <c r="X170" s="87"/>
      <c r="Y170" s="59"/>
      <c r="Z170" s="15">
        <f t="shared" si="95"/>
        <v>0</v>
      </c>
      <c r="AA170" s="15" t="str">
        <f t="shared" si="96"/>
        <v/>
      </c>
      <c r="AB170" s="69" t="str">
        <f>IFERROR(REPORTE[[#This Row],[Kg Exportados]]/REPORTE[[#This Row],[Ha]],"")</f>
        <v/>
      </c>
      <c r="AC170" s="65" t="str">
        <f>IFERROR(VLOOKUP(REPORTE[[#This Row],[Lote]],PROYECCION[],16,FALSE),"")</f>
        <v/>
      </c>
      <c r="AD170" s="66" t="s">
        <v>32</v>
      </c>
      <c r="AE170" s="2"/>
      <c r="AG170" s="2"/>
      <c r="AK170" s="2"/>
      <c r="AL170" s="2"/>
      <c r="AN170" s="2"/>
    </row>
    <row r="171" spans="1:40" ht="14.25" customHeight="1" x14ac:dyDescent="0.25">
      <c r="A171" s="42">
        <f t="shared" si="89"/>
        <v>15</v>
      </c>
      <c r="B171" s="42" t="str">
        <f>TEXT(REPORTE[[#This Row],[Fecha]],"MMMM")</f>
        <v>Abril</v>
      </c>
      <c r="C171" s="42" t="str">
        <f>IFERROR(VLOOKUP(REPORTE[[#This Row],[Lote]],PROYECCION[],3,FALSE),"")</f>
        <v/>
      </c>
      <c r="D171" s="47" t="str">
        <f>IFERROR(VLOOKUP(REPORTE[[#This Row],[Lote]],PROYECCION[],2,FALSE),"")</f>
        <v/>
      </c>
      <c r="E171" s="65"/>
      <c r="F171" s="53" t="str">
        <f>IFERROR(VLOOKUP(REPORTE[[#This Row],[Lote]],PROYECCION[],5,FALSE),"")</f>
        <v/>
      </c>
      <c r="G171" s="42" t="str">
        <f>IFERROR(VLOOKUP(REPORTE[[#This Row],[Lote]],PROYECCION[],4,FALSE),"")</f>
        <v/>
      </c>
      <c r="H171" s="42" t="str">
        <f>IFERROR(VLOOKUP(REPORTE[[#This Row],[Lote]],PROYECCION[],6,FALSE),"")</f>
        <v/>
      </c>
      <c r="I171" s="96" t="s">
        <v>155</v>
      </c>
      <c r="J171" s="15">
        <f>SUM($S$163:$S$166)*REPORTE[[#This Row],[% Calibre]]</f>
        <v>11569.999999999955</v>
      </c>
      <c r="K171" s="44">
        <v>0.25152173913043402</v>
      </c>
      <c r="L171" s="42"/>
      <c r="M171" s="47"/>
      <c r="N171" s="84">
        <v>45390</v>
      </c>
      <c r="O171" s="85"/>
      <c r="P171" s="48" t="str">
        <f t="shared" si="90"/>
        <v/>
      </c>
      <c r="Q171" s="56">
        <f t="shared" si="91"/>
        <v>0</v>
      </c>
      <c r="R171" s="86"/>
      <c r="S171" s="57">
        <f t="shared" si="92"/>
        <v>0</v>
      </c>
      <c r="T171" s="87"/>
      <c r="U171" s="58">
        <f t="shared" si="93"/>
        <v>0</v>
      </c>
      <c r="V171" s="87"/>
      <c r="W171" s="57">
        <f t="shared" si="94"/>
        <v>0</v>
      </c>
      <c r="X171" s="87"/>
      <c r="Y171" s="59"/>
      <c r="Z171" s="15">
        <f t="shared" si="95"/>
        <v>0</v>
      </c>
      <c r="AA171" s="15" t="str">
        <f t="shared" si="96"/>
        <v/>
      </c>
      <c r="AB171" s="69" t="str">
        <f>IFERROR(REPORTE[[#This Row],[Kg Exportados]]/REPORTE[[#This Row],[Ha]],"")</f>
        <v/>
      </c>
      <c r="AC171" s="65" t="str">
        <f>IFERROR(VLOOKUP(REPORTE[[#This Row],[Lote]],PROYECCION[],16,FALSE),"")</f>
        <v/>
      </c>
      <c r="AD171" s="66" t="s">
        <v>32</v>
      </c>
      <c r="AE171" s="2"/>
      <c r="AG171" s="2"/>
      <c r="AK171" s="2"/>
      <c r="AL171" s="2"/>
      <c r="AN171" s="2"/>
    </row>
    <row r="172" spans="1:40" ht="14.25" customHeight="1" x14ac:dyDescent="0.25">
      <c r="A172" s="42">
        <f t="shared" si="89"/>
        <v>15</v>
      </c>
      <c r="B172" s="42" t="str">
        <f>TEXT(REPORTE[[#This Row],[Fecha]],"MMMM")</f>
        <v>Abril</v>
      </c>
      <c r="C172" s="42" t="str">
        <f>IFERROR(VLOOKUP(REPORTE[[#This Row],[Lote]],PROYECCION[],3,FALSE),"")</f>
        <v/>
      </c>
      <c r="D172" s="47" t="str">
        <f>IFERROR(VLOOKUP(REPORTE[[#This Row],[Lote]],PROYECCION[],2,FALSE),"")</f>
        <v/>
      </c>
      <c r="E172" s="65"/>
      <c r="F172" s="53" t="str">
        <f>IFERROR(VLOOKUP(REPORTE[[#This Row],[Lote]],PROYECCION[],5,FALSE),"")</f>
        <v/>
      </c>
      <c r="G172" s="42" t="str">
        <f>IFERROR(VLOOKUP(REPORTE[[#This Row],[Lote]],PROYECCION[],4,FALSE),"")</f>
        <v/>
      </c>
      <c r="H172" s="42" t="str">
        <f>IFERROR(VLOOKUP(REPORTE[[#This Row],[Lote]],PROYECCION[],6,FALSE),"")</f>
        <v/>
      </c>
      <c r="I172" s="96" t="s">
        <v>165</v>
      </c>
      <c r="J172" s="15">
        <f>SUM($S$163:$S$166)*REPORTE[[#This Row],[% Calibre]]</f>
        <v>12949.999999999951</v>
      </c>
      <c r="K172" s="44">
        <v>0.28152173913043399</v>
      </c>
      <c r="L172" s="42"/>
      <c r="M172" s="47"/>
      <c r="N172" s="84">
        <v>45390</v>
      </c>
      <c r="O172" s="85"/>
      <c r="P172" s="48" t="str">
        <f t="shared" si="90"/>
        <v/>
      </c>
      <c r="Q172" s="56">
        <f t="shared" si="91"/>
        <v>0</v>
      </c>
      <c r="R172" s="86"/>
      <c r="S172" s="57">
        <f t="shared" si="92"/>
        <v>0</v>
      </c>
      <c r="T172" s="87"/>
      <c r="U172" s="58">
        <f t="shared" si="93"/>
        <v>0</v>
      </c>
      <c r="V172" s="87"/>
      <c r="W172" s="57">
        <f t="shared" si="94"/>
        <v>0</v>
      </c>
      <c r="X172" s="87"/>
      <c r="Y172" s="59"/>
      <c r="Z172" s="15">
        <f t="shared" si="95"/>
        <v>0</v>
      </c>
      <c r="AA172" s="15" t="str">
        <f t="shared" si="96"/>
        <v/>
      </c>
      <c r="AB172" s="69" t="str">
        <f>IFERROR(REPORTE[[#This Row],[Kg Exportados]]/REPORTE[[#This Row],[Ha]],"")</f>
        <v/>
      </c>
      <c r="AC172" s="65" t="str">
        <f>IFERROR(VLOOKUP(REPORTE[[#This Row],[Lote]],PROYECCION[],16,FALSE),"")</f>
        <v/>
      </c>
      <c r="AD172" s="66" t="s">
        <v>32</v>
      </c>
      <c r="AE172" s="2"/>
      <c r="AG172" s="2"/>
      <c r="AK172" s="2"/>
      <c r="AL172" s="2"/>
      <c r="AN172" s="2"/>
    </row>
    <row r="173" spans="1:40" ht="14.25" customHeight="1" x14ac:dyDescent="0.25">
      <c r="A173" s="42">
        <f t="shared" si="89"/>
        <v>15</v>
      </c>
      <c r="B173" s="42" t="str">
        <f>TEXT(REPORTE[[#This Row],[Fecha]],"MMMM")</f>
        <v>Abril</v>
      </c>
      <c r="C173" s="42" t="str">
        <f>IFERROR(VLOOKUP(REPORTE[[#This Row],[Lote]],PROYECCION[],3,FALSE),"")</f>
        <v/>
      </c>
      <c r="D173" s="47" t="str">
        <f>IFERROR(VLOOKUP(REPORTE[[#This Row],[Lote]],PROYECCION[],2,FALSE),"")</f>
        <v/>
      </c>
      <c r="E173" s="65"/>
      <c r="F173" s="53" t="str">
        <f>IFERROR(VLOOKUP(REPORTE[[#This Row],[Lote]],PROYECCION[],5,FALSE),"")</f>
        <v/>
      </c>
      <c r="G173" s="42" t="str">
        <f>IFERROR(VLOOKUP(REPORTE[[#This Row],[Lote]],PROYECCION[],4,FALSE),"")</f>
        <v/>
      </c>
      <c r="H173" s="42" t="str">
        <f>IFERROR(VLOOKUP(REPORTE[[#This Row],[Lote]],PROYECCION[],6,FALSE),"")</f>
        <v/>
      </c>
      <c r="I173" s="96" t="s">
        <v>166</v>
      </c>
      <c r="J173" s="15">
        <f>SUM($S$163:$S$166)*REPORTE[[#This Row],[% Calibre]]</f>
        <v>3489.9999999999964</v>
      </c>
      <c r="K173" s="44">
        <v>7.5869565217391299E-2</v>
      </c>
      <c r="L173" s="42"/>
      <c r="M173" s="47"/>
      <c r="N173" s="84">
        <v>45390</v>
      </c>
      <c r="O173" s="85"/>
      <c r="P173" s="48" t="str">
        <f t="shared" si="90"/>
        <v/>
      </c>
      <c r="Q173" s="56">
        <f t="shared" si="91"/>
        <v>0</v>
      </c>
      <c r="R173" s="86"/>
      <c r="S173" s="57">
        <f t="shared" si="92"/>
        <v>0</v>
      </c>
      <c r="T173" s="87"/>
      <c r="U173" s="58">
        <f t="shared" si="93"/>
        <v>0</v>
      </c>
      <c r="V173" s="87"/>
      <c r="W173" s="57">
        <f t="shared" si="94"/>
        <v>0</v>
      </c>
      <c r="X173" s="87"/>
      <c r="Y173" s="59"/>
      <c r="Z173" s="15">
        <f t="shared" si="95"/>
        <v>0</v>
      </c>
      <c r="AA173" s="15" t="str">
        <f t="shared" si="96"/>
        <v/>
      </c>
      <c r="AB173" s="69" t="str">
        <f>IFERROR(REPORTE[[#This Row],[Kg Exportados]]/REPORTE[[#This Row],[Ha]],"")</f>
        <v/>
      </c>
      <c r="AC173" s="65" t="str">
        <f>IFERROR(VLOOKUP(REPORTE[[#This Row],[Lote]],PROYECCION[],16,FALSE),"")</f>
        <v/>
      </c>
      <c r="AD173" s="66" t="s">
        <v>32</v>
      </c>
      <c r="AE173" s="2"/>
      <c r="AG173" s="2"/>
      <c r="AK173" s="2"/>
      <c r="AL173" s="2"/>
      <c r="AN173" s="2"/>
    </row>
    <row r="174" spans="1:40" ht="14.25" customHeight="1" x14ac:dyDescent="0.25">
      <c r="A174" s="42">
        <f t="shared" si="89"/>
        <v>15</v>
      </c>
      <c r="B174" s="42" t="str">
        <f>TEXT(REPORTE[[#This Row],[Fecha]],"MMMM")</f>
        <v>Abril</v>
      </c>
      <c r="C174" s="42" t="str">
        <f>IFERROR(VLOOKUP(REPORTE[[#This Row],[Lote]],PROYECCION[],3,FALSE),"")</f>
        <v/>
      </c>
      <c r="D174" s="47" t="str">
        <f>IFERROR(VLOOKUP(REPORTE[[#This Row],[Lote]],PROYECCION[],2,FALSE),"")</f>
        <v/>
      </c>
      <c r="E174" s="65"/>
      <c r="F174" s="53" t="str">
        <f>IFERROR(VLOOKUP(REPORTE[[#This Row],[Lote]],PROYECCION[],5,FALSE),"")</f>
        <v/>
      </c>
      <c r="G174" s="42" t="str">
        <f>IFERROR(VLOOKUP(REPORTE[[#This Row],[Lote]],PROYECCION[],4,FALSE),"")</f>
        <v/>
      </c>
      <c r="H174" s="42" t="str">
        <f>IFERROR(VLOOKUP(REPORTE[[#This Row],[Lote]],PROYECCION[],6,FALSE),"")</f>
        <v/>
      </c>
      <c r="I174" s="96" t="s">
        <v>167</v>
      </c>
      <c r="J174" s="15">
        <f>SUM($S$163:$S$166)*REPORTE[[#This Row],[% Calibre]]</f>
        <v>150.00000000000026</v>
      </c>
      <c r="K174" s="44">
        <v>3.2608695652173998E-3</v>
      </c>
      <c r="L174" s="42"/>
      <c r="M174" s="47"/>
      <c r="N174" s="84">
        <v>45390</v>
      </c>
      <c r="O174" s="85"/>
      <c r="P174" s="48" t="str">
        <f t="shared" si="90"/>
        <v/>
      </c>
      <c r="Q174" s="56">
        <f t="shared" si="91"/>
        <v>0</v>
      </c>
      <c r="R174" s="86"/>
      <c r="S174" s="57">
        <f t="shared" si="92"/>
        <v>0</v>
      </c>
      <c r="T174" s="87"/>
      <c r="U174" s="58">
        <f t="shared" si="93"/>
        <v>0</v>
      </c>
      <c r="V174" s="87"/>
      <c r="W174" s="57">
        <f t="shared" si="94"/>
        <v>0</v>
      </c>
      <c r="X174" s="87"/>
      <c r="Y174" s="59"/>
      <c r="Z174" s="15">
        <f t="shared" si="95"/>
        <v>0</v>
      </c>
      <c r="AA174" s="15" t="str">
        <f t="shared" si="96"/>
        <v/>
      </c>
      <c r="AB174" s="69" t="str">
        <f>IFERROR(REPORTE[[#This Row],[Kg Exportados]]/REPORTE[[#This Row],[Ha]],"")</f>
        <v/>
      </c>
      <c r="AC174" s="65" t="str">
        <f>IFERROR(VLOOKUP(REPORTE[[#This Row],[Lote]],PROYECCION[],16,FALSE),"")</f>
        <v/>
      </c>
      <c r="AD174" s="66" t="s">
        <v>32</v>
      </c>
      <c r="AE174" s="2"/>
      <c r="AG174" s="2"/>
      <c r="AK174" s="2"/>
      <c r="AL174" s="2"/>
      <c r="AN174" s="2"/>
    </row>
    <row r="175" spans="1:40" ht="14.25" customHeight="1" x14ac:dyDescent="0.25">
      <c r="A175" s="42">
        <f t="shared" si="89"/>
        <v>15</v>
      </c>
      <c r="B175" s="42" t="str">
        <f>TEXT(REPORTE[[#This Row],[Fecha]],"MMMM")</f>
        <v>Abril</v>
      </c>
      <c r="C175" s="42" t="str">
        <f>IFERROR(VLOOKUP(REPORTE[[#This Row],[Lote]],PROYECCION[],3,FALSE),"")</f>
        <v/>
      </c>
      <c r="D175" s="47" t="str">
        <f>IFERROR(VLOOKUP(REPORTE[[#This Row],[Lote]],PROYECCION[],2,FALSE),"")</f>
        <v/>
      </c>
      <c r="E175" s="65"/>
      <c r="F175" s="53" t="str">
        <f>IFERROR(VLOOKUP(REPORTE[[#This Row],[Lote]],PROYECCION[],5,FALSE),"")</f>
        <v/>
      </c>
      <c r="G175" s="42" t="str">
        <f>IFERROR(VLOOKUP(REPORTE[[#This Row],[Lote]],PROYECCION[],4,FALSE),"")</f>
        <v/>
      </c>
      <c r="H175" s="42" t="str">
        <f>IFERROR(VLOOKUP(REPORTE[[#This Row],[Lote]],PROYECCION[],6,FALSE),"")</f>
        <v/>
      </c>
      <c r="I175" s="96" t="s">
        <v>169</v>
      </c>
      <c r="J175" s="15">
        <f>SUM($S$163:$S$166)*REPORTE[[#This Row],[% Calibre]]</f>
        <v>9.9999999999999858</v>
      </c>
      <c r="K175" s="94">
        <v>2.1739130434782599E-4</v>
      </c>
      <c r="L175" s="42"/>
      <c r="M175" s="47"/>
      <c r="N175" s="84">
        <v>45390</v>
      </c>
      <c r="O175" s="85"/>
      <c r="P175" s="48" t="str">
        <f t="shared" si="90"/>
        <v/>
      </c>
      <c r="Q175" s="56">
        <f t="shared" si="91"/>
        <v>0</v>
      </c>
      <c r="R175" s="86"/>
      <c r="S175" s="57">
        <f t="shared" si="92"/>
        <v>0</v>
      </c>
      <c r="T175" s="87"/>
      <c r="U175" s="58">
        <f t="shared" si="93"/>
        <v>0</v>
      </c>
      <c r="V175" s="87"/>
      <c r="W175" s="57">
        <f t="shared" si="94"/>
        <v>0</v>
      </c>
      <c r="X175" s="87"/>
      <c r="Y175" s="59"/>
      <c r="Z175" s="15">
        <f t="shared" si="95"/>
        <v>0</v>
      </c>
      <c r="AA175" s="15" t="str">
        <f t="shared" si="96"/>
        <v/>
      </c>
      <c r="AB175" s="69" t="str">
        <f>IFERROR(REPORTE[[#This Row],[Kg Exportados]]/REPORTE[[#This Row],[Ha]],"")</f>
        <v/>
      </c>
      <c r="AC175" s="65" t="str">
        <f>IFERROR(VLOOKUP(REPORTE[[#This Row],[Lote]],PROYECCION[],16,FALSE),"")</f>
        <v/>
      </c>
      <c r="AD175" s="66" t="s">
        <v>32</v>
      </c>
      <c r="AE175" s="2"/>
      <c r="AG175" s="2"/>
      <c r="AK175" s="2"/>
      <c r="AL175" s="2"/>
      <c r="AN175" s="2"/>
    </row>
    <row r="176" spans="1:40" ht="14.25" customHeight="1" x14ac:dyDescent="0.25">
      <c r="A176" s="42">
        <f t="shared" si="89"/>
        <v>15</v>
      </c>
      <c r="B176" s="42" t="str">
        <f>TEXT(REPORTE[[#This Row],[Fecha]],"MMMM")</f>
        <v>Abril</v>
      </c>
      <c r="C176" s="42" t="str">
        <f>IFERROR(VLOOKUP(REPORTE[[#This Row],[Lote]],PROYECCION[],3,FALSE),"")</f>
        <v>El Marsano</v>
      </c>
      <c r="D176" s="47" t="str">
        <f>IFERROR(VLOOKUP(REPORTE[[#This Row],[Lote]],PROYECCION[],2,FALSE),"")</f>
        <v>Agricola Guili S.A.C</v>
      </c>
      <c r="E176" s="65" t="s">
        <v>17</v>
      </c>
      <c r="F176" s="53">
        <f>IFERROR(VLOOKUP(REPORTE[[#This Row],[Lote]],PROYECCION[],5,FALSE),"")</f>
        <v>26.08</v>
      </c>
      <c r="G176" s="42" t="str">
        <f>IFERROR(VLOOKUP(REPORTE[[#This Row],[Lote]],PROYECCION[],4,FALSE),"")</f>
        <v>Hass</v>
      </c>
      <c r="H176" s="42" t="str">
        <f>IFERROR(VLOOKUP(REPORTE[[#This Row],[Lote]],PROYECCION[],6,FALSE),"")</f>
        <v>Negra</v>
      </c>
      <c r="I176" s="96"/>
      <c r="J176" s="15"/>
      <c r="K176" s="44"/>
      <c r="L176" s="42" t="s">
        <v>183</v>
      </c>
      <c r="M176" s="47" t="s">
        <v>184</v>
      </c>
      <c r="N176" s="84">
        <v>45390</v>
      </c>
      <c r="O176" s="85">
        <v>2</v>
      </c>
      <c r="P176" s="48">
        <f t="shared" si="90"/>
        <v>395</v>
      </c>
      <c r="Q176" s="56">
        <f t="shared" si="91"/>
        <v>79</v>
      </c>
      <c r="R176" s="86">
        <v>790</v>
      </c>
      <c r="S176" s="57">
        <f t="shared" si="92"/>
        <v>790</v>
      </c>
      <c r="T176" s="87">
        <v>1</v>
      </c>
      <c r="U176" s="58">
        <f t="shared" si="93"/>
        <v>0</v>
      </c>
      <c r="V176" s="87">
        <v>0</v>
      </c>
      <c r="W176" s="57">
        <f t="shared" si="94"/>
        <v>0</v>
      </c>
      <c r="X176" s="87">
        <v>0</v>
      </c>
      <c r="Y176" s="59"/>
      <c r="Z176" s="15">
        <f t="shared" si="95"/>
        <v>790</v>
      </c>
      <c r="AA176" s="15">
        <f t="shared" si="96"/>
        <v>30.291411042944787</v>
      </c>
      <c r="AB176" s="69">
        <f>IFERROR(REPORTE[[#This Row],[Kg Exportados]]/REPORTE[[#This Row],[Ha]],"")</f>
        <v>30.291411042944787</v>
      </c>
      <c r="AC176" s="65" t="str">
        <f>IFERROR(VLOOKUP(REPORTE[[#This Row],[Lote]],PROYECCION[],16,FALSE),"")</f>
        <v>Cosechando</v>
      </c>
      <c r="AD176" s="66" t="s">
        <v>72</v>
      </c>
      <c r="AE176" s="2"/>
      <c r="AG176" s="2"/>
      <c r="AK176" s="2"/>
      <c r="AL176" s="2"/>
      <c r="AN176" s="2"/>
    </row>
    <row r="177" spans="1:40" ht="14.25" customHeight="1" x14ac:dyDescent="0.25">
      <c r="A177" s="42">
        <f t="shared" si="89"/>
        <v>15</v>
      </c>
      <c r="B177" s="42" t="str">
        <f>TEXT(REPORTE[[#This Row],[Fecha]],"MMMM")</f>
        <v>Abril</v>
      </c>
      <c r="C177" s="42" t="str">
        <f>IFERROR(VLOOKUP(REPORTE[[#This Row],[Lote]],PROYECCION[],3,FALSE),"")</f>
        <v>El Marsano</v>
      </c>
      <c r="D177" s="47" t="str">
        <f>IFERROR(VLOOKUP(REPORTE[[#This Row],[Lote]],PROYECCION[],2,FALSE),"")</f>
        <v>Agricola Guili S.A.C</v>
      </c>
      <c r="E177" s="65" t="s">
        <v>13</v>
      </c>
      <c r="F177" s="53">
        <f>IFERROR(VLOOKUP(REPORTE[[#This Row],[Lote]],PROYECCION[],5,FALSE),"")</f>
        <v>13.41</v>
      </c>
      <c r="G177" s="42" t="str">
        <f>IFERROR(VLOOKUP(REPORTE[[#This Row],[Lote]],PROYECCION[],4,FALSE),"")</f>
        <v>Hass</v>
      </c>
      <c r="H177" s="42" t="str">
        <f>IFERROR(VLOOKUP(REPORTE[[#This Row],[Lote]],PROYECCION[],6,FALSE),"")</f>
        <v>Negra</v>
      </c>
      <c r="I177" s="96"/>
      <c r="J177" s="15"/>
      <c r="K177" s="44"/>
      <c r="L177" s="42" t="s">
        <v>183</v>
      </c>
      <c r="M177" s="47" t="s">
        <v>184</v>
      </c>
      <c r="N177" s="84">
        <v>45390</v>
      </c>
      <c r="O177" s="85">
        <v>4</v>
      </c>
      <c r="P177" s="48">
        <f t="shared" si="90"/>
        <v>437.5</v>
      </c>
      <c r="Q177" s="56">
        <f t="shared" si="91"/>
        <v>175</v>
      </c>
      <c r="R177" s="86">
        <v>1750</v>
      </c>
      <c r="S177" s="57">
        <f t="shared" si="92"/>
        <v>1750</v>
      </c>
      <c r="T177" s="87">
        <v>1</v>
      </c>
      <c r="U177" s="58">
        <f t="shared" si="93"/>
        <v>0</v>
      </c>
      <c r="V177" s="87">
        <v>0</v>
      </c>
      <c r="W177" s="57">
        <f t="shared" si="94"/>
        <v>0</v>
      </c>
      <c r="X177" s="87">
        <v>0</v>
      </c>
      <c r="Y177" s="59"/>
      <c r="Z177" s="15">
        <f t="shared" si="95"/>
        <v>1750</v>
      </c>
      <c r="AA177" s="15">
        <f t="shared" si="96"/>
        <v>130.49962714392245</v>
      </c>
      <c r="AB177" s="69">
        <f>IFERROR(REPORTE[[#This Row],[Kg Exportados]]/REPORTE[[#This Row],[Ha]],"")</f>
        <v>130.49962714392245</v>
      </c>
      <c r="AC177" s="65" t="str">
        <f>IFERROR(VLOOKUP(REPORTE[[#This Row],[Lote]],PROYECCION[],16,FALSE),"")</f>
        <v>Cosechando</v>
      </c>
      <c r="AD177" s="66" t="s">
        <v>72</v>
      </c>
      <c r="AE177" s="2"/>
      <c r="AG177" s="2"/>
      <c r="AK177" s="2"/>
      <c r="AL177" s="2"/>
      <c r="AN177" s="2"/>
    </row>
    <row r="178" spans="1:40" ht="14.25" customHeight="1" x14ac:dyDescent="0.25">
      <c r="A178" s="42">
        <f t="shared" si="89"/>
        <v>15</v>
      </c>
      <c r="B178" s="42" t="str">
        <f>TEXT(REPORTE[[#This Row],[Fecha]],"MMMM")</f>
        <v>Abril</v>
      </c>
      <c r="C178" s="42" t="str">
        <f>IFERROR(VLOOKUP(REPORTE[[#This Row],[Lote]],PROYECCION[],3,FALSE),"")</f>
        <v/>
      </c>
      <c r="D178" s="47" t="str">
        <f>IFERROR(VLOOKUP(REPORTE[[#This Row],[Lote]],PROYECCION[],2,FALSE),"")</f>
        <v/>
      </c>
      <c r="E178" s="65"/>
      <c r="F178" s="53" t="str">
        <f>IFERROR(VLOOKUP(REPORTE[[#This Row],[Lote]],PROYECCION[],5,FALSE),"")</f>
        <v/>
      </c>
      <c r="G178" s="42" t="str">
        <f>IFERROR(VLOOKUP(REPORTE[[#This Row],[Lote]],PROYECCION[],4,FALSE),"")</f>
        <v/>
      </c>
      <c r="H178" s="42" t="str">
        <f>IFERROR(VLOOKUP(REPORTE[[#This Row],[Lote]],PROYECCION[],6,FALSE),"")</f>
        <v/>
      </c>
      <c r="I178" s="96" t="s">
        <v>153</v>
      </c>
      <c r="J178" s="15">
        <f>SUM($S$176:$S$177)*REPORTE[[#This Row],[% Calibre]]</f>
        <v>2249.9999999999991</v>
      </c>
      <c r="K178" s="44">
        <v>0.88582677165354295</v>
      </c>
      <c r="L178" s="42"/>
      <c r="M178" s="47"/>
      <c r="N178" s="84">
        <v>45390</v>
      </c>
      <c r="O178" s="85"/>
      <c r="P178" s="48" t="str">
        <f t="shared" si="90"/>
        <v/>
      </c>
      <c r="Q178" s="56">
        <f t="shared" si="91"/>
        <v>0</v>
      </c>
      <c r="R178" s="86"/>
      <c r="S178" s="57">
        <f t="shared" si="92"/>
        <v>0</v>
      </c>
      <c r="T178" s="87"/>
      <c r="U178" s="58">
        <f t="shared" si="93"/>
        <v>0</v>
      </c>
      <c r="V178" s="87"/>
      <c r="W178" s="57">
        <f t="shared" si="94"/>
        <v>0</v>
      </c>
      <c r="X178" s="87"/>
      <c r="Y178" s="59"/>
      <c r="Z178" s="15">
        <f t="shared" si="95"/>
        <v>0</v>
      </c>
      <c r="AA178" s="15" t="str">
        <f t="shared" si="96"/>
        <v/>
      </c>
      <c r="AB178" s="69" t="str">
        <f>IFERROR(REPORTE[[#This Row],[Kg Exportados]]/REPORTE[[#This Row],[Ha]],"")</f>
        <v/>
      </c>
      <c r="AC178" s="65" t="str">
        <f>IFERROR(VLOOKUP(REPORTE[[#This Row],[Lote]],PROYECCION[],16,FALSE),"")</f>
        <v/>
      </c>
      <c r="AD178" s="66" t="s">
        <v>72</v>
      </c>
      <c r="AE178" s="2"/>
      <c r="AG178" s="2"/>
      <c r="AK178" s="2"/>
      <c r="AL178" s="2"/>
      <c r="AN178" s="2"/>
    </row>
    <row r="179" spans="1:40" ht="14.25" customHeight="1" x14ac:dyDescent="0.25">
      <c r="A179" s="42">
        <f t="shared" si="89"/>
        <v>15</v>
      </c>
      <c r="B179" s="42" t="str">
        <f>TEXT(REPORTE[[#This Row],[Fecha]],"MMMM")</f>
        <v>Abril</v>
      </c>
      <c r="C179" s="42" t="str">
        <f>IFERROR(VLOOKUP(REPORTE[[#This Row],[Lote]],PROYECCION[],3,FALSE),"")</f>
        <v/>
      </c>
      <c r="D179" s="47" t="str">
        <f>IFERROR(VLOOKUP(REPORTE[[#This Row],[Lote]],PROYECCION[],2,FALSE),"")</f>
        <v/>
      </c>
      <c r="E179" s="65"/>
      <c r="F179" s="53" t="str">
        <f>IFERROR(VLOOKUP(REPORTE[[#This Row],[Lote]],PROYECCION[],5,FALSE),"")</f>
        <v/>
      </c>
      <c r="G179" s="42" t="str">
        <f>IFERROR(VLOOKUP(REPORTE[[#This Row],[Lote]],PROYECCION[],4,FALSE),"")</f>
        <v/>
      </c>
      <c r="H179" s="42" t="str">
        <f>IFERROR(VLOOKUP(REPORTE[[#This Row],[Lote]],PROYECCION[],6,FALSE),"")</f>
        <v/>
      </c>
      <c r="I179" s="96" t="s">
        <v>159</v>
      </c>
      <c r="J179" s="15">
        <f>SUM($S$176:$S$177)*REPORTE[[#This Row],[% Calibre]]</f>
        <v>289.99999999999824</v>
      </c>
      <c r="K179" s="44">
        <v>0.114173228346456</v>
      </c>
      <c r="L179" s="42"/>
      <c r="M179" s="47"/>
      <c r="N179" s="84">
        <v>45390</v>
      </c>
      <c r="O179" s="85"/>
      <c r="P179" s="48" t="str">
        <f t="shared" si="90"/>
        <v/>
      </c>
      <c r="Q179" s="56">
        <f t="shared" si="91"/>
        <v>0</v>
      </c>
      <c r="R179" s="86"/>
      <c r="S179" s="57">
        <f t="shared" si="92"/>
        <v>0</v>
      </c>
      <c r="T179" s="87"/>
      <c r="U179" s="58">
        <f t="shared" si="93"/>
        <v>0</v>
      </c>
      <c r="V179" s="87"/>
      <c r="W179" s="57">
        <f t="shared" si="94"/>
        <v>0</v>
      </c>
      <c r="X179" s="87"/>
      <c r="Y179" s="59"/>
      <c r="Z179" s="15">
        <f t="shared" si="95"/>
        <v>0</v>
      </c>
      <c r="AA179" s="15" t="str">
        <f t="shared" si="96"/>
        <v/>
      </c>
      <c r="AB179" s="69" t="str">
        <f>IFERROR(REPORTE[[#This Row],[Kg Exportados]]/REPORTE[[#This Row],[Ha]],"")</f>
        <v/>
      </c>
      <c r="AC179" s="65" t="str">
        <f>IFERROR(VLOOKUP(REPORTE[[#This Row],[Lote]],PROYECCION[],16,FALSE),"")</f>
        <v/>
      </c>
      <c r="AD179" s="66" t="s">
        <v>72</v>
      </c>
      <c r="AE179" s="2"/>
      <c r="AG179" s="2"/>
      <c r="AK179" s="2"/>
      <c r="AL179" s="2"/>
      <c r="AN179" s="2"/>
    </row>
    <row r="180" spans="1:40" ht="14.25" customHeight="1" x14ac:dyDescent="0.25">
      <c r="A180" s="42">
        <f t="shared" si="89"/>
        <v>15</v>
      </c>
      <c r="B180" s="42" t="str">
        <f>TEXT(REPORTE[[#This Row],[Fecha]],"MMMM")</f>
        <v>Abril</v>
      </c>
      <c r="C180" s="42" t="str">
        <f>IFERROR(VLOOKUP(REPORTE[[#This Row],[Lote]],PROYECCION[],3,FALSE),"")</f>
        <v>El Marsano</v>
      </c>
      <c r="D180" s="47" t="str">
        <f>IFERROR(VLOOKUP(REPORTE[[#This Row],[Lote]],PROYECCION[],2,FALSE),"")</f>
        <v>Agricola Guili S.A.C</v>
      </c>
      <c r="E180" s="65" t="s">
        <v>17</v>
      </c>
      <c r="F180" s="53">
        <f>IFERROR(VLOOKUP(REPORTE[[#This Row],[Lote]],PROYECCION[],5,FALSE),"")</f>
        <v>26.08</v>
      </c>
      <c r="G180" s="42" t="str">
        <f>IFERROR(VLOOKUP(REPORTE[[#This Row],[Lote]],PROYECCION[],4,FALSE),"")</f>
        <v>Hass</v>
      </c>
      <c r="H180" s="42" t="str">
        <f>IFERROR(VLOOKUP(REPORTE[[#This Row],[Lote]],PROYECCION[],6,FALSE),"")</f>
        <v>Negra</v>
      </c>
      <c r="I180" s="96"/>
      <c r="J180" s="15"/>
      <c r="K180" s="44"/>
      <c r="L180" s="42" t="s">
        <v>185</v>
      </c>
      <c r="M180" s="47" t="s">
        <v>186</v>
      </c>
      <c r="N180" s="84">
        <v>45391</v>
      </c>
      <c r="O180" s="85">
        <v>33</v>
      </c>
      <c r="P180" s="48">
        <f t="shared" si="90"/>
        <v>444.93939393939394</v>
      </c>
      <c r="Q180" s="56">
        <f t="shared" si="91"/>
        <v>1367.8637647776818</v>
      </c>
      <c r="R180" s="86">
        <v>14683</v>
      </c>
      <c r="S180" s="57">
        <f t="shared" si="92"/>
        <v>13678.637647776819</v>
      </c>
      <c r="T180" s="87">
        <v>0.93159692486391199</v>
      </c>
      <c r="U180" s="58">
        <f t="shared" si="93"/>
        <v>425.65075943261553</v>
      </c>
      <c r="V180" s="87">
        <v>2.8989359084152799E-2</v>
      </c>
      <c r="W180" s="57">
        <f t="shared" si="94"/>
        <v>578.7115927905586</v>
      </c>
      <c r="X180" s="87">
        <v>3.9413716051934798E-2</v>
      </c>
      <c r="Y180" s="59"/>
      <c r="Z180" s="15">
        <f t="shared" si="95"/>
        <v>14683</v>
      </c>
      <c r="AA180" s="15">
        <f t="shared" si="96"/>
        <v>562.99846625766872</v>
      </c>
      <c r="AB180" s="69">
        <f>IFERROR(REPORTE[[#This Row],[Kg Exportados]]/REPORTE[[#This Row],[Ha]],"")</f>
        <v>524.48763986874314</v>
      </c>
      <c r="AC180" s="65" t="str">
        <f>IFERROR(VLOOKUP(REPORTE[[#This Row],[Lote]],PROYECCION[],16,FALSE),"")</f>
        <v>Cosechando</v>
      </c>
      <c r="AD180" s="66" t="s">
        <v>32</v>
      </c>
      <c r="AE180" s="2"/>
      <c r="AG180" s="2"/>
      <c r="AK180" s="2"/>
      <c r="AL180" s="2"/>
      <c r="AN180" s="2"/>
    </row>
    <row r="181" spans="1:40" ht="14.25" customHeight="1" x14ac:dyDescent="0.25">
      <c r="A181" s="42">
        <f t="shared" si="89"/>
        <v>15</v>
      </c>
      <c r="B181" s="42" t="str">
        <f>TEXT(REPORTE[[#This Row],[Fecha]],"MMMM")</f>
        <v>Abril</v>
      </c>
      <c r="C181" s="42" t="str">
        <f>IFERROR(VLOOKUP(REPORTE[[#This Row],[Lote]],PROYECCION[],3,FALSE),"")</f>
        <v>El Marsano</v>
      </c>
      <c r="D181" s="47" t="str">
        <f>IFERROR(VLOOKUP(REPORTE[[#This Row],[Lote]],PROYECCION[],2,FALSE),"")</f>
        <v>Agricola Guili S.A.C</v>
      </c>
      <c r="E181" s="65" t="s">
        <v>19</v>
      </c>
      <c r="F181" s="53">
        <f>IFERROR(VLOOKUP(REPORTE[[#This Row],[Lote]],PROYECCION[],5,FALSE),"")</f>
        <v>10.72</v>
      </c>
      <c r="G181" s="42" t="str">
        <f>IFERROR(VLOOKUP(REPORTE[[#This Row],[Lote]],PROYECCION[],4,FALSE),"")</f>
        <v>Hass</v>
      </c>
      <c r="H181" s="42" t="str">
        <f>IFERROR(VLOOKUP(REPORTE[[#This Row],[Lote]],PROYECCION[],6,FALSE),"")</f>
        <v>Negra</v>
      </c>
      <c r="I181" s="96"/>
      <c r="J181" s="15"/>
      <c r="K181" s="44"/>
      <c r="L181" s="42" t="s">
        <v>185</v>
      </c>
      <c r="M181" s="47" t="s">
        <v>186</v>
      </c>
      <c r="N181" s="84">
        <v>45391</v>
      </c>
      <c r="O181" s="85">
        <v>21</v>
      </c>
      <c r="P181" s="48">
        <f t="shared" si="90"/>
        <v>439.59523809523807</v>
      </c>
      <c r="Q181" s="56">
        <f t="shared" si="91"/>
        <v>860.00370118812043</v>
      </c>
      <c r="R181" s="86">
        <v>9231.5</v>
      </c>
      <c r="S181" s="57">
        <f t="shared" si="92"/>
        <v>8600.0370118812043</v>
      </c>
      <c r="T181" s="87">
        <v>0.93159692486391199</v>
      </c>
      <c r="U181" s="58">
        <f t="shared" si="93"/>
        <v>267.61526838535656</v>
      </c>
      <c r="V181" s="87">
        <v>2.8989359084152799E-2</v>
      </c>
      <c r="W181" s="57">
        <f t="shared" si="94"/>
        <v>363.84771973343607</v>
      </c>
      <c r="X181" s="87">
        <v>3.9413716051934798E-2</v>
      </c>
      <c r="Y181" s="59"/>
      <c r="Z181" s="15">
        <f t="shared" si="95"/>
        <v>9231.5</v>
      </c>
      <c r="AA181" s="15">
        <f t="shared" si="96"/>
        <v>861.14738805970148</v>
      </c>
      <c r="AB181" s="69">
        <f>IFERROR(REPORTE[[#This Row],[Kg Exportados]]/REPORTE[[#This Row],[Ha]],"")</f>
        <v>802.24225857100782</v>
      </c>
      <c r="AC181" s="65" t="str">
        <f>IFERROR(VLOOKUP(REPORTE[[#This Row],[Lote]],PROYECCION[],16,FALSE),"")</f>
        <v>Cosechando</v>
      </c>
      <c r="AD181" s="66" t="s">
        <v>32</v>
      </c>
      <c r="AE181" s="2"/>
      <c r="AG181" s="2"/>
      <c r="AK181" s="2"/>
      <c r="AL181" s="2"/>
      <c r="AN181" s="2"/>
    </row>
    <row r="182" spans="1:40" ht="14.25" customHeight="1" x14ac:dyDescent="0.25">
      <c r="A182" s="42">
        <f t="shared" si="89"/>
        <v>15</v>
      </c>
      <c r="B182" s="42" t="str">
        <f>TEXT(REPORTE[[#This Row],[Fecha]],"MMMM")</f>
        <v>Abril</v>
      </c>
      <c r="C182" s="42" t="str">
        <f>IFERROR(VLOOKUP(REPORTE[[#This Row],[Lote]],PROYECCION[],3,FALSE),"")</f>
        <v>El Marsano</v>
      </c>
      <c r="D182" s="47" t="str">
        <f>IFERROR(VLOOKUP(REPORTE[[#This Row],[Lote]],PROYECCION[],2,FALSE),"")</f>
        <v>Agricola Guili S.A.C</v>
      </c>
      <c r="E182" s="65" t="s">
        <v>13</v>
      </c>
      <c r="F182" s="53">
        <f>IFERROR(VLOOKUP(REPORTE[[#This Row],[Lote]],PROYECCION[],5,FALSE),"")</f>
        <v>13.41</v>
      </c>
      <c r="G182" s="42" t="str">
        <f>IFERROR(VLOOKUP(REPORTE[[#This Row],[Lote]],PROYECCION[],4,FALSE),"")</f>
        <v>Hass</v>
      </c>
      <c r="H182" s="42" t="str">
        <f>IFERROR(VLOOKUP(REPORTE[[#This Row],[Lote]],PROYECCION[],6,FALSE),"")</f>
        <v>Negra</v>
      </c>
      <c r="I182" s="96"/>
      <c r="J182" s="15"/>
      <c r="K182" s="44"/>
      <c r="L182" s="42" t="s">
        <v>185</v>
      </c>
      <c r="M182" s="47" t="s">
        <v>186</v>
      </c>
      <c r="N182" s="84">
        <v>45391</v>
      </c>
      <c r="O182" s="85">
        <v>5</v>
      </c>
      <c r="P182" s="48">
        <f t="shared" si="90"/>
        <v>443.7</v>
      </c>
      <c r="Q182" s="56">
        <f t="shared" si="91"/>
        <v>206.67477778105885</v>
      </c>
      <c r="R182" s="86">
        <v>2218.5</v>
      </c>
      <c r="S182" s="57">
        <f t="shared" si="92"/>
        <v>2066.7477778105886</v>
      </c>
      <c r="T182" s="87">
        <v>0.93159692486391199</v>
      </c>
      <c r="U182" s="58">
        <f t="shared" si="93"/>
        <v>64.312893128192982</v>
      </c>
      <c r="V182" s="87">
        <v>2.8989359084152799E-2</v>
      </c>
      <c r="W182" s="57">
        <f t="shared" si="94"/>
        <v>87.43932906121735</v>
      </c>
      <c r="X182" s="87">
        <v>3.9413716051934798E-2</v>
      </c>
      <c r="Y182" s="59"/>
      <c r="Z182" s="15">
        <f t="shared" si="95"/>
        <v>2218.5</v>
      </c>
      <c r="AA182" s="15">
        <f t="shared" si="96"/>
        <v>165.43624161073825</v>
      </c>
      <c r="AB182" s="69">
        <f>IFERROR(REPORTE[[#This Row],[Kg Exportados]]/REPORTE[[#This Row],[Ha]],"")</f>
        <v>154.11989394560689</v>
      </c>
      <c r="AC182" s="65" t="str">
        <f>IFERROR(VLOOKUP(REPORTE[[#This Row],[Lote]],PROYECCION[],16,FALSE),"")</f>
        <v>Cosechando</v>
      </c>
      <c r="AD182" s="66" t="s">
        <v>32</v>
      </c>
      <c r="AE182" s="2"/>
      <c r="AG182" s="2"/>
      <c r="AK182" s="2"/>
      <c r="AL182" s="2"/>
      <c r="AN182" s="2"/>
    </row>
    <row r="183" spans="1:40" ht="14.25" customHeight="1" x14ac:dyDescent="0.25">
      <c r="A183" s="42">
        <f t="shared" si="89"/>
        <v>15</v>
      </c>
      <c r="B183" s="42" t="str">
        <f>TEXT(REPORTE[[#This Row],[Fecha]],"MMMM")</f>
        <v>Abril</v>
      </c>
      <c r="C183" s="42" t="str">
        <f>IFERROR(VLOOKUP(REPORTE[[#This Row],[Lote]],PROYECCION[],3,FALSE),"")</f>
        <v>El Marsano</v>
      </c>
      <c r="D183" s="47" t="str">
        <f>IFERROR(VLOOKUP(REPORTE[[#This Row],[Lote]],PROYECCION[],2,FALSE),"")</f>
        <v>Agricola Guili S.A.C</v>
      </c>
      <c r="E183" s="65" t="s">
        <v>17</v>
      </c>
      <c r="F183" s="53">
        <f>IFERROR(VLOOKUP(REPORTE[[#This Row],[Lote]],PROYECCION[],5,FALSE),"")</f>
        <v>26.08</v>
      </c>
      <c r="G183" s="42" t="str">
        <f>IFERROR(VLOOKUP(REPORTE[[#This Row],[Lote]],PROYECCION[],4,FALSE),"")</f>
        <v>Hass</v>
      </c>
      <c r="H183" s="42" t="str">
        <f>IFERROR(VLOOKUP(REPORTE[[#This Row],[Lote]],PROYECCION[],6,FALSE),"")</f>
        <v>Negra</v>
      </c>
      <c r="I183" s="96"/>
      <c r="J183" s="15"/>
      <c r="K183" s="44"/>
      <c r="L183" s="42" t="s">
        <v>187</v>
      </c>
      <c r="M183" s="47" t="s">
        <v>186</v>
      </c>
      <c r="N183" s="84">
        <v>45391</v>
      </c>
      <c r="O183" s="85">
        <v>6</v>
      </c>
      <c r="P183" s="48">
        <f t="shared" si="90"/>
        <v>306.41666666666669</v>
      </c>
      <c r="Q183" s="56">
        <f t="shared" si="91"/>
        <v>171.27409463623022</v>
      </c>
      <c r="R183" s="86">
        <v>1838.5</v>
      </c>
      <c r="S183" s="57">
        <f t="shared" si="92"/>
        <v>1712.7409463623021</v>
      </c>
      <c r="T183" s="87">
        <v>0.93159692486391199</v>
      </c>
      <c r="U183" s="58">
        <f t="shared" si="93"/>
        <v>53.296936676214919</v>
      </c>
      <c r="V183" s="87">
        <v>2.8989359084152799E-2</v>
      </c>
      <c r="W183" s="57">
        <f t="shared" si="94"/>
        <v>72.462116961482124</v>
      </c>
      <c r="X183" s="87">
        <v>3.9413716051934798E-2</v>
      </c>
      <c r="Y183" s="59"/>
      <c r="Z183" s="15">
        <f t="shared" si="95"/>
        <v>1838.5</v>
      </c>
      <c r="AA183" s="15">
        <f t="shared" si="96"/>
        <v>70.494631901840492</v>
      </c>
      <c r="AB183" s="69">
        <f>IFERROR(REPORTE[[#This Row],[Kg Exportados]]/REPORTE[[#This Row],[Ha]],"")</f>
        <v>65.672582299168027</v>
      </c>
      <c r="AC183" s="65" t="str">
        <f>IFERROR(VLOOKUP(REPORTE[[#This Row],[Lote]],PROYECCION[],16,FALSE),"")</f>
        <v>Cosechando</v>
      </c>
      <c r="AD183" s="66" t="s">
        <v>32</v>
      </c>
      <c r="AE183" s="2"/>
      <c r="AG183" s="2"/>
      <c r="AK183" s="2"/>
      <c r="AL183" s="2"/>
      <c r="AN183" s="2"/>
    </row>
    <row r="184" spans="1:40" ht="14.25" customHeight="1" x14ac:dyDescent="0.25">
      <c r="A184" s="42">
        <f t="shared" si="89"/>
        <v>15</v>
      </c>
      <c r="B184" s="42" t="str">
        <f>TEXT(REPORTE[[#This Row],[Fecha]],"MMMM")</f>
        <v>Abril</v>
      </c>
      <c r="C184" s="42" t="str">
        <f>IFERROR(VLOOKUP(REPORTE[[#This Row],[Lote]],PROYECCION[],3,FALSE),"")</f>
        <v>El Marsano</v>
      </c>
      <c r="D184" s="47" t="str">
        <f>IFERROR(VLOOKUP(REPORTE[[#This Row],[Lote]],PROYECCION[],2,FALSE),"")</f>
        <v>Agricola Guili S.A.C</v>
      </c>
      <c r="E184" s="65" t="s">
        <v>19</v>
      </c>
      <c r="F184" s="53">
        <f>IFERROR(VLOOKUP(REPORTE[[#This Row],[Lote]],PROYECCION[],5,FALSE),"")</f>
        <v>10.72</v>
      </c>
      <c r="G184" s="42" t="str">
        <f>IFERROR(VLOOKUP(REPORTE[[#This Row],[Lote]],PROYECCION[],4,FALSE),"")</f>
        <v>Hass</v>
      </c>
      <c r="H184" s="42" t="str">
        <f>IFERROR(VLOOKUP(REPORTE[[#This Row],[Lote]],PROYECCION[],6,FALSE),"")</f>
        <v>Negra</v>
      </c>
      <c r="I184" s="96"/>
      <c r="J184" s="15"/>
      <c r="K184" s="44"/>
      <c r="L184" s="42" t="s">
        <v>187</v>
      </c>
      <c r="M184" s="47" t="s">
        <v>186</v>
      </c>
      <c r="N184" s="84">
        <v>45391</v>
      </c>
      <c r="O184" s="85">
        <v>30</v>
      </c>
      <c r="P184" s="48">
        <f t="shared" si="90"/>
        <v>417.9</v>
      </c>
      <c r="Q184" s="56">
        <f t="shared" si="91"/>
        <v>1167.9430647018864</v>
      </c>
      <c r="R184" s="86">
        <v>12537</v>
      </c>
      <c r="S184" s="57">
        <f t="shared" si="92"/>
        <v>11679.430647018864</v>
      </c>
      <c r="T184" s="87">
        <v>0.93159692486391199</v>
      </c>
      <c r="U184" s="58">
        <f t="shared" si="93"/>
        <v>363.43959483802365</v>
      </c>
      <c r="V184" s="87">
        <v>2.8989359084152799E-2</v>
      </c>
      <c r="W184" s="57">
        <f t="shared" si="94"/>
        <v>494.12975814310659</v>
      </c>
      <c r="X184" s="87">
        <v>3.9413716051934798E-2</v>
      </c>
      <c r="Y184" s="59"/>
      <c r="Z184" s="15">
        <f t="shared" si="95"/>
        <v>12537</v>
      </c>
      <c r="AA184" s="15">
        <f t="shared" si="96"/>
        <v>1169.4962686567164</v>
      </c>
      <c r="AB184" s="69">
        <f>IFERROR(REPORTE[[#This Row],[Kg Exportados]]/REPORTE[[#This Row],[Ha]],"")</f>
        <v>1089.4991275204163</v>
      </c>
      <c r="AC184" s="65" t="str">
        <f>IFERROR(VLOOKUP(REPORTE[[#This Row],[Lote]],PROYECCION[],16,FALSE),"")</f>
        <v>Cosechando</v>
      </c>
      <c r="AD184" s="66" t="s">
        <v>32</v>
      </c>
      <c r="AE184" s="2"/>
      <c r="AG184" s="2"/>
      <c r="AK184" s="2"/>
      <c r="AL184" s="2"/>
      <c r="AN184" s="2"/>
    </row>
    <row r="185" spans="1:40" ht="14.25" customHeight="1" x14ac:dyDescent="0.25">
      <c r="A185" s="42">
        <f t="shared" si="89"/>
        <v>15</v>
      </c>
      <c r="B185" s="42" t="str">
        <f>TEXT(REPORTE[[#This Row],[Fecha]],"MMMM")</f>
        <v>Abril</v>
      </c>
      <c r="C185" s="42" t="str">
        <f>IFERROR(VLOOKUP(REPORTE[[#This Row],[Lote]],PROYECCION[],3,FALSE),"")</f>
        <v>El Marsano</v>
      </c>
      <c r="D185" s="47" t="str">
        <f>IFERROR(VLOOKUP(REPORTE[[#This Row],[Lote]],PROYECCION[],2,FALSE),"")</f>
        <v>Agricola Guili S.A.C</v>
      </c>
      <c r="E185" s="65" t="s">
        <v>13</v>
      </c>
      <c r="F185" s="53">
        <f>IFERROR(VLOOKUP(REPORTE[[#This Row],[Lote]],PROYECCION[],5,FALSE),"")</f>
        <v>13.41</v>
      </c>
      <c r="G185" s="42" t="str">
        <f>IFERROR(VLOOKUP(REPORTE[[#This Row],[Lote]],PROYECCION[],4,FALSE),"")</f>
        <v>Hass</v>
      </c>
      <c r="H185" s="42" t="str">
        <f>IFERROR(VLOOKUP(REPORTE[[#This Row],[Lote]],PROYECCION[],6,FALSE),"")</f>
        <v>Negra</v>
      </c>
      <c r="I185" s="96"/>
      <c r="J185" s="15"/>
      <c r="K185" s="44"/>
      <c r="L185" s="42" t="s">
        <v>187</v>
      </c>
      <c r="M185" s="47" t="s">
        <v>186</v>
      </c>
      <c r="N185" s="84">
        <v>45391</v>
      </c>
      <c r="O185" s="85">
        <v>24</v>
      </c>
      <c r="P185" s="48">
        <f t="shared" si="90"/>
        <v>428.58333333333331</v>
      </c>
      <c r="Q185" s="56">
        <f t="shared" si="91"/>
        <v>958.24059691501986</v>
      </c>
      <c r="R185" s="86">
        <v>10286</v>
      </c>
      <c r="S185" s="57">
        <f t="shared" si="92"/>
        <v>9582.4059691501989</v>
      </c>
      <c r="T185" s="87">
        <v>0.93159692486391199</v>
      </c>
      <c r="U185" s="58">
        <f t="shared" si="93"/>
        <v>298.18454753959571</v>
      </c>
      <c r="V185" s="87">
        <v>2.8989359084152799E-2</v>
      </c>
      <c r="W185" s="57">
        <f t="shared" si="94"/>
        <v>405.40948331020132</v>
      </c>
      <c r="X185" s="87">
        <v>3.9413716051934798E-2</v>
      </c>
      <c r="Y185" s="59"/>
      <c r="Z185" s="15">
        <f t="shared" si="95"/>
        <v>10286</v>
      </c>
      <c r="AA185" s="15">
        <f t="shared" si="96"/>
        <v>767.03952274422068</v>
      </c>
      <c r="AB185" s="69">
        <f>IFERROR(REPORTE[[#This Row],[Kg Exportados]]/REPORTE[[#This Row],[Ha]],"")</f>
        <v>714.57166063759871</v>
      </c>
      <c r="AC185" s="65" t="str">
        <f>IFERROR(VLOOKUP(REPORTE[[#This Row],[Lote]],PROYECCION[],16,FALSE),"")</f>
        <v>Cosechando</v>
      </c>
      <c r="AD185" s="66" t="s">
        <v>32</v>
      </c>
      <c r="AE185" s="2"/>
      <c r="AG185" s="2"/>
      <c r="AK185" s="2"/>
      <c r="AL185" s="2"/>
      <c r="AN185" s="2"/>
    </row>
    <row r="186" spans="1:40" ht="14.25" customHeight="1" x14ac:dyDescent="0.25">
      <c r="A186" s="42">
        <f t="shared" si="89"/>
        <v>15</v>
      </c>
      <c r="B186" s="42" t="str">
        <f>TEXT(REPORTE[[#This Row],[Fecha]],"MMMM")</f>
        <v>Abril</v>
      </c>
      <c r="C186" s="42" t="str">
        <f>IFERROR(VLOOKUP(REPORTE[[#This Row],[Lote]],PROYECCION[],3,FALSE),"")</f>
        <v/>
      </c>
      <c r="D186" s="47" t="str">
        <f>IFERROR(VLOOKUP(REPORTE[[#This Row],[Lote]],PROYECCION[],2,FALSE),"")</f>
        <v/>
      </c>
      <c r="E186" s="65"/>
      <c r="F186" s="53" t="str">
        <f>IFERROR(VLOOKUP(REPORTE[[#This Row],[Lote]],PROYECCION[],5,FALSE),"")</f>
        <v/>
      </c>
      <c r="G186" s="42" t="str">
        <f>IFERROR(VLOOKUP(REPORTE[[#This Row],[Lote]],PROYECCION[],4,FALSE),"")</f>
        <v/>
      </c>
      <c r="H186" s="42" t="str">
        <f>IFERROR(VLOOKUP(REPORTE[[#This Row],[Lote]],PROYECCION[],6,FALSE),"")</f>
        <v/>
      </c>
      <c r="I186" s="96" t="s">
        <v>162</v>
      </c>
      <c r="J186" s="15">
        <f>SUM($S$180:$S$185)*REPORTE[[#This Row],[% Calibre]]</f>
        <v>29.999999999999968</v>
      </c>
      <c r="K186" s="94">
        <v>6.3398140321217203E-4</v>
      </c>
      <c r="L186" s="42"/>
      <c r="M186" s="47"/>
      <c r="N186" s="84">
        <v>45391</v>
      </c>
      <c r="O186" s="85"/>
      <c r="P186" s="48" t="str">
        <f t="shared" si="90"/>
        <v/>
      </c>
      <c r="Q186" s="56">
        <f t="shared" si="91"/>
        <v>0</v>
      </c>
      <c r="R186" s="86"/>
      <c r="S186" s="57">
        <f t="shared" si="92"/>
        <v>0</v>
      </c>
      <c r="T186" s="87"/>
      <c r="U186" s="58">
        <f t="shared" si="93"/>
        <v>0</v>
      </c>
      <c r="V186" s="87"/>
      <c r="W186" s="57">
        <f t="shared" si="94"/>
        <v>0</v>
      </c>
      <c r="X186" s="87"/>
      <c r="Y186" s="59"/>
      <c r="Z186" s="15">
        <f t="shared" si="95"/>
        <v>0</v>
      </c>
      <c r="AA186" s="15" t="str">
        <f t="shared" si="96"/>
        <v/>
      </c>
      <c r="AB186" s="69" t="str">
        <f>IFERROR(REPORTE[[#This Row],[Kg Exportados]]/REPORTE[[#This Row],[Ha]],"")</f>
        <v/>
      </c>
      <c r="AC186" s="65" t="str">
        <f>IFERROR(VLOOKUP(REPORTE[[#This Row],[Lote]],PROYECCION[],16,FALSE),"")</f>
        <v/>
      </c>
      <c r="AD186" s="66" t="s">
        <v>32</v>
      </c>
      <c r="AE186" s="2"/>
      <c r="AG186" s="2"/>
      <c r="AK186" s="2"/>
      <c r="AL186" s="2"/>
      <c r="AN186" s="2"/>
    </row>
    <row r="187" spans="1:40" ht="14.25" customHeight="1" x14ac:dyDescent="0.25">
      <c r="A187" s="42">
        <f t="shared" si="89"/>
        <v>15</v>
      </c>
      <c r="B187" s="42" t="str">
        <f>TEXT(REPORTE[[#This Row],[Fecha]],"MMMM")</f>
        <v>Abril</v>
      </c>
      <c r="C187" s="42" t="str">
        <f>IFERROR(VLOOKUP(REPORTE[[#This Row],[Lote]],PROYECCION[],3,FALSE),"")</f>
        <v/>
      </c>
      <c r="D187" s="47" t="str">
        <f>IFERROR(VLOOKUP(REPORTE[[#This Row],[Lote]],PROYECCION[],2,FALSE),"")</f>
        <v/>
      </c>
      <c r="E187" s="65"/>
      <c r="F187" s="53" t="str">
        <f>IFERROR(VLOOKUP(REPORTE[[#This Row],[Lote]],PROYECCION[],5,FALSE),"")</f>
        <v/>
      </c>
      <c r="G187" s="42" t="str">
        <f>IFERROR(VLOOKUP(REPORTE[[#This Row],[Lote]],PROYECCION[],4,FALSE),"")</f>
        <v/>
      </c>
      <c r="H187" s="42" t="str">
        <f>IFERROR(VLOOKUP(REPORTE[[#This Row],[Lote]],PROYECCION[],6,FALSE),"")</f>
        <v/>
      </c>
      <c r="I187" s="96" t="s">
        <v>163</v>
      </c>
      <c r="J187" s="15">
        <f>SUM($S$180:$S$185)*REPORTE[[#This Row],[% Calibre]]</f>
        <v>719.99999999999784</v>
      </c>
      <c r="K187" s="44">
        <v>1.5215553677092101E-2</v>
      </c>
      <c r="L187" s="42"/>
      <c r="M187" s="47"/>
      <c r="N187" s="84">
        <v>45391</v>
      </c>
      <c r="O187" s="85"/>
      <c r="P187" s="48" t="str">
        <f t="shared" si="90"/>
        <v/>
      </c>
      <c r="Q187" s="56">
        <f t="shared" si="91"/>
        <v>0</v>
      </c>
      <c r="R187" s="86"/>
      <c r="S187" s="57">
        <f t="shared" si="92"/>
        <v>0</v>
      </c>
      <c r="T187" s="87"/>
      <c r="U187" s="58">
        <f t="shared" si="93"/>
        <v>0</v>
      </c>
      <c r="V187" s="87"/>
      <c r="W187" s="57">
        <f t="shared" si="94"/>
        <v>0</v>
      </c>
      <c r="X187" s="87"/>
      <c r="Y187" s="59"/>
      <c r="Z187" s="15">
        <f t="shared" si="95"/>
        <v>0</v>
      </c>
      <c r="AA187" s="15" t="str">
        <f t="shared" si="96"/>
        <v/>
      </c>
      <c r="AB187" s="69" t="str">
        <f>IFERROR(REPORTE[[#This Row],[Kg Exportados]]/REPORTE[[#This Row],[Ha]],"")</f>
        <v/>
      </c>
      <c r="AC187" s="65" t="str">
        <f>IFERROR(VLOOKUP(REPORTE[[#This Row],[Lote]],PROYECCION[],16,FALSE),"")</f>
        <v/>
      </c>
      <c r="AD187" s="66" t="s">
        <v>32</v>
      </c>
      <c r="AE187" s="2"/>
      <c r="AG187" s="2"/>
      <c r="AK187" s="2"/>
      <c r="AL187" s="2"/>
      <c r="AN187" s="2"/>
    </row>
    <row r="188" spans="1:40" ht="14.25" customHeight="1" x14ac:dyDescent="0.25">
      <c r="A188" s="42">
        <f t="shared" si="89"/>
        <v>15</v>
      </c>
      <c r="B188" s="42" t="str">
        <f>TEXT(REPORTE[[#This Row],[Fecha]],"MMMM")</f>
        <v>Abril</v>
      </c>
      <c r="C188" s="42" t="str">
        <f>IFERROR(VLOOKUP(REPORTE[[#This Row],[Lote]],PROYECCION[],3,FALSE),"")</f>
        <v/>
      </c>
      <c r="D188" s="47" t="str">
        <f>IFERROR(VLOOKUP(REPORTE[[#This Row],[Lote]],PROYECCION[],2,FALSE),"")</f>
        <v/>
      </c>
      <c r="E188" s="65"/>
      <c r="F188" s="53" t="str">
        <f>IFERROR(VLOOKUP(REPORTE[[#This Row],[Lote]],PROYECCION[],5,FALSE),"")</f>
        <v/>
      </c>
      <c r="G188" s="42" t="str">
        <f>IFERROR(VLOOKUP(REPORTE[[#This Row],[Lote]],PROYECCION[],4,FALSE),"")</f>
        <v/>
      </c>
      <c r="H188" s="42" t="str">
        <f>IFERROR(VLOOKUP(REPORTE[[#This Row],[Lote]],PROYECCION[],6,FALSE),"")</f>
        <v/>
      </c>
      <c r="I188" s="96" t="s">
        <v>164</v>
      </c>
      <c r="J188" s="15">
        <f>SUM($S$180:$S$185)*REPORTE[[#This Row],[% Calibre]]</f>
        <v>4189.9999999999991</v>
      </c>
      <c r="K188" s="44">
        <v>8.8546069315300097E-2</v>
      </c>
      <c r="L188" s="42"/>
      <c r="M188" s="47"/>
      <c r="N188" s="84">
        <v>45391</v>
      </c>
      <c r="O188" s="85"/>
      <c r="P188" s="48" t="str">
        <f t="shared" si="90"/>
        <v/>
      </c>
      <c r="Q188" s="56">
        <f t="shared" si="91"/>
        <v>0</v>
      </c>
      <c r="R188" s="86"/>
      <c r="S188" s="57">
        <f t="shared" si="92"/>
        <v>0</v>
      </c>
      <c r="T188" s="87"/>
      <c r="U188" s="58">
        <f t="shared" si="93"/>
        <v>0</v>
      </c>
      <c r="V188" s="87"/>
      <c r="W188" s="57">
        <f t="shared" si="94"/>
        <v>0</v>
      </c>
      <c r="X188" s="87"/>
      <c r="Y188" s="59"/>
      <c r="Z188" s="15">
        <f t="shared" si="95"/>
        <v>0</v>
      </c>
      <c r="AA188" s="15" t="str">
        <f t="shared" si="96"/>
        <v/>
      </c>
      <c r="AB188" s="69" t="str">
        <f>IFERROR(REPORTE[[#This Row],[Kg Exportados]]/REPORTE[[#This Row],[Ha]],"")</f>
        <v/>
      </c>
      <c r="AC188" s="65" t="str">
        <f>IFERROR(VLOOKUP(REPORTE[[#This Row],[Lote]],PROYECCION[],16,FALSE),"")</f>
        <v/>
      </c>
      <c r="AD188" s="66" t="s">
        <v>32</v>
      </c>
      <c r="AE188" s="2"/>
      <c r="AG188" s="2"/>
      <c r="AK188" s="2"/>
      <c r="AL188" s="2"/>
      <c r="AN188" s="2"/>
    </row>
    <row r="189" spans="1:40" ht="14.25" customHeight="1" x14ac:dyDescent="0.25">
      <c r="A189" s="42">
        <f t="shared" si="89"/>
        <v>15</v>
      </c>
      <c r="B189" s="42" t="str">
        <f>TEXT(REPORTE[[#This Row],[Fecha]],"MMMM")</f>
        <v>Abril</v>
      </c>
      <c r="C189" s="42" t="str">
        <f>IFERROR(VLOOKUP(REPORTE[[#This Row],[Lote]],PROYECCION[],3,FALSE),"")</f>
        <v/>
      </c>
      <c r="D189" s="47" t="str">
        <f>IFERROR(VLOOKUP(REPORTE[[#This Row],[Lote]],PROYECCION[],2,FALSE),"")</f>
        <v/>
      </c>
      <c r="E189" s="65"/>
      <c r="F189" s="53" t="str">
        <f>IFERROR(VLOOKUP(REPORTE[[#This Row],[Lote]],PROYECCION[],5,FALSE),"")</f>
        <v/>
      </c>
      <c r="G189" s="42" t="str">
        <f>IFERROR(VLOOKUP(REPORTE[[#This Row],[Lote]],PROYECCION[],4,FALSE),"")</f>
        <v/>
      </c>
      <c r="H189" s="42" t="str">
        <f>IFERROR(VLOOKUP(REPORTE[[#This Row],[Lote]],PROYECCION[],6,FALSE),"")</f>
        <v/>
      </c>
      <c r="I189" s="96" t="s">
        <v>154</v>
      </c>
      <c r="J189" s="15">
        <f>SUM($S$180:$S$185)*REPORTE[[#This Row],[% Calibre]]</f>
        <v>12239.999999999976</v>
      </c>
      <c r="K189" s="44">
        <v>0.25866441251056599</v>
      </c>
      <c r="L189" s="42"/>
      <c r="M189" s="47"/>
      <c r="N189" s="84">
        <v>45391</v>
      </c>
      <c r="O189" s="85"/>
      <c r="P189" s="48" t="str">
        <f t="shared" si="90"/>
        <v/>
      </c>
      <c r="Q189" s="56">
        <f t="shared" si="91"/>
        <v>0</v>
      </c>
      <c r="R189" s="86"/>
      <c r="S189" s="57">
        <f t="shared" si="92"/>
        <v>0</v>
      </c>
      <c r="T189" s="87"/>
      <c r="U189" s="58">
        <f t="shared" si="93"/>
        <v>0</v>
      </c>
      <c r="V189" s="87"/>
      <c r="W189" s="57">
        <f t="shared" si="94"/>
        <v>0</v>
      </c>
      <c r="X189" s="87"/>
      <c r="Y189" s="59"/>
      <c r="Z189" s="15">
        <f t="shared" si="95"/>
        <v>0</v>
      </c>
      <c r="AA189" s="15" t="str">
        <f t="shared" si="96"/>
        <v/>
      </c>
      <c r="AB189" s="69" t="str">
        <f>IFERROR(REPORTE[[#This Row],[Kg Exportados]]/REPORTE[[#This Row],[Ha]],"")</f>
        <v/>
      </c>
      <c r="AC189" s="65" t="str">
        <f>IFERROR(VLOOKUP(REPORTE[[#This Row],[Lote]],PROYECCION[],16,FALSE),"")</f>
        <v/>
      </c>
      <c r="AD189" s="66" t="s">
        <v>32</v>
      </c>
      <c r="AE189" s="2"/>
      <c r="AG189" s="2"/>
      <c r="AK189" s="2"/>
      <c r="AL189" s="2"/>
      <c r="AN189" s="2"/>
    </row>
    <row r="190" spans="1:40" ht="14.25" customHeight="1" x14ac:dyDescent="0.25">
      <c r="A190" s="42">
        <f t="shared" si="89"/>
        <v>15</v>
      </c>
      <c r="B190" s="42" t="str">
        <f>TEXT(REPORTE[[#This Row],[Fecha]],"MMMM")</f>
        <v>Abril</v>
      </c>
      <c r="C190" s="42" t="str">
        <f>IFERROR(VLOOKUP(REPORTE[[#This Row],[Lote]],PROYECCION[],3,FALSE),"")</f>
        <v/>
      </c>
      <c r="D190" s="47" t="str">
        <f>IFERROR(VLOOKUP(REPORTE[[#This Row],[Lote]],PROYECCION[],2,FALSE),"")</f>
        <v/>
      </c>
      <c r="E190" s="65"/>
      <c r="F190" s="53" t="str">
        <f>IFERROR(VLOOKUP(REPORTE[[#This Row],[Lote]],PROYECCION[],5,FALSE),"")</f>
        <v/>
      </c>
      <c r="G190" s="42" t="str">
        <f>IFERROR(VLOOKUP(REPORTE[[#This Row],[Lote]],PROYECCION[],4,FALSE),"")</f>
        <v/>
      </c>
      <c r="H190" s="42" t="str">
        <f>IFERROR(VLOOKUP(REPORTE[[#This Row],[Lote]],PROYECCION[],6,FALSE),"")</f>
        <v/>
      </c>
      <c r="I190" s="96" t="s">
        <v>155</v>
      </c>
      <c r="J190" s="15">
        <f>SUM($S$180:$S$185)*REPORTE[[#This Row],[% Calibre]]</f>
        <v>17679.999999999964</v>
      </c>
      <c r="K190" s="44">
        <v>0.37362637362637302</v>
      </c>
      <c r="L190" s="42"/>
      <c r="M190" s="47"/>
      <c r="N190" s="84">
        <v>45391</v>
      </c>
      <c r="O190" s="85"/>
      <c r="P190" s="48" t="str">
        <f t="shared" si="90"/>
        <v/>
      </c>
      <c r="Q190" s="56">
        <f t="shared" si="91"/>
        <v>0</v>
      </c>
      <c r="R190" s="86"/>
      <c r="S190" s="57">
        <f t="shared" si="92"/>
        <v>0</v>
      </c>
      <c r="T190" s="87"/>
      <c r="U190" s="58">
        <f t="shared" si="93"/>
        <v>0</v>
      </c>
      <c r="V190" s="87"/>
      <c r="W190" s="57">
        <f t="shared" si="94"/>
        <v>0</v>
      </c>
      <c r="X190" s="87"/>
      <c r="Y190" s="59"/>
      <c r="Z190" s="15">
        <f t="shared" si="95"/>
        <v>0</v>
      </c>
      <c r="AA190" s="15" t="str">
        <f t="shared" si="96"/>
        <v/>
      </c>
      <c r="AB190" s="69" t="str">
        <f>IFERROR(REPORTE[[#This Row],[Kg Exportados]]/REPORTE[[#This Row],[Ha]],"")</f>
        <v/>
      </c>
      <c r="AC190" s="65" t="str">
        <f>IFERROR(VLOOKUP(REPORTE[[#This Row],[Lote]],PROYECCION[],16,FALSE),"")</f>
        <v/>
      </c>
      <c r="AD190" s="66" t="s">
        <v>32</v>
      </c>
      <c r="AE190" s="2"/>
      <c r="AG190" s="2"/>
      <c r="AK190" s="2"/>
      <c r="AL190" s="2"/>
      <c r="AN190" s="2"/>
    </row>
    <row r="191" spans="1:40" ht="14.25" customHeight="1" x14ac:dyDescent="0.25">
      <c r="A191" s="42">
        <f t="shared" si="89"/>
        <v>15</v>
      </c>
      <c r="B191" s="42" t="str">
        <f>TEXT(REPORTE[[#This Row],[Fecha]],"MMMM")</f>
        <v>Abril</v>
      </c>
      <c r="C191" s="42" t="str">
        <f>IFERROR(VLOOKUP(REPORTE[[#This Row],[Lote]],PROYECCION[],3,FALSE),"")</f>
        <v/>
      </c>
      <c r="D191" s="47" t="str">
        <f>IFERROR(VLOOKUP(REPORTE[[#This Row],[Lote]],PROYECCION[],2,FALSE),"")</f>
        <v/>
      </c>
      <c r="E191" s="65"/>
      <c r="F191" s="53" t="str">
        <f>IFERROR(VLOOKUP(REPORTE[[#This Row],[Lote]],PROYECCION[],5,FALSE),"")</f>
        <v/>
      </c>
      <c r="G191" s="42" t="str">
        <f>IFERROR(VLOOKUP(REPORTE[[#This Row],[Lote]],PROYECCION[],4,FALSE),"")</f>
        <v/>
      </c>
      <c r="H191" s="42" t="str">
        <f>IFERROR(VLOOKUP(REPORTE[[#This Row],[Lote]],PROYECCION[],6,FALSE),"")</f>
        <v/>
      </c>
      <c r="I191" s="96" t="s">
        <v>165</v>
      </c>
      <c r="J191" s="15">
        <f>SUM($S$180:$S$185)*REPORTE[[#This Row],[% Calibre]]</f>
        <v>9919.9999999999945</v>
      </c>
      <c r="K191" s="44">
        <v>0.20963651732882499</v>
      </c>
      <c r="L191" s="42"/>
      <c r="M191" s="47"/>
      <c r="N191" s="84">
        <v>45391</v>
      </c>
      <c r="O191" s="85"/>
      <c r="P191" s="48" t="str">
        <f t="shared" si="90"/>
        <v/>
      </c>
      <c r="Q191" s="56">
        <f t="shared" si="91"/>
        <v>0</v>
      </c>
      <c r="R191" s="86"/>
      <c r="S191" s="57">
        <f t="shared" si="92"/>
        <v>0</v>
      </c>
      <c r="T191" s="87"/>
      <c r="U191" s="58">
        <f t="shared" si="93"/>
        <v>0</v>
      </c>
      <c r="V191" s="87"/>
      <c r="W191" s="57">
        <f t="shared" si="94"/>
        <v>0</v>
      </c>
      <c r="X191" s="87"/>
      <c r="Y191" s="59"/>
      <c r="Z191" s="15">
        <f t="shared" si="95"/>
        <v>0</v>
      </c>
      <c r="AA191" s="15" t="str">
        <f t="shared" si="96"/>
        <v/>
      </c>
      <c r="AB191" s="69" t="str">
        <f>IFERROR(REPORTE[[#This Row],[Kg Exportados]]/REPORTE[[#This Row],[Ha]],"")</f>
        <v/>
      </c>
      <c r="AC191" s="65" t="str">
        <f>IFERROR(VLOOKUP(REPORTE[[#This Row],[Lote]],PROYECCION[],16,FALSE),"")</f>
        <v/>
      </c>
      <c r="AD191" s="66" t="s">
        <v>32</v>
      </c>
      <c r="AE191" s="2"/>
      <c r="AG191" s="2"/>
      <c r="AK191" s="2"/>
      <c r="AL191" s="2"/>
      <c r="AN191" s="2"/>
    </row>
    <row r="192" spans="1:40" ht="14.25" customHeight="1" x14ac:dyDescent="0.25">
      <c r="A192" s="42">
        <f t="shared" si="89"/>
        <v>15</v>
      </c>
      <c r="B192" s="42" t="str">
        <f>TEXT(REPORTE[[#This Row],[Fecha]],"MMMM")</f>
        <v>Abril</v>
      </c>
      <c r="C192" s="42" t="str">
        <f>IFERROR(VLOOKUP(REPORTE[[#This Row],[Lote]],PROYECCION[],3,FALSE),"")</f>
        <v/>
      </c>
      <c r="D192" s="47" t="str">
        <f>IFERROR(VLOOKUP(REPORTE[[#This Row],[Lote]],PROYECCION[],2,FALSE),"")</f>
        <v/>
      </c>
      <c r="E192" s="65"/>
      <c r="F192" s="53" t="str">
        <f>IFERROR(VLOOKUP(REPORTE[[#This Row],[Lote]],PROYECCION[],5,FALSE),"")</f>
        <v/>
      </c>
      <c r="G192" s="42" t="str">
        <f>IFERROR(VLOOKUP(REPORTE[[#This Row],[Lote]],PROYECCION[],4,FALSE),"")</f>
        <v/>
      </c>
      <c r="H192" s="42" t="str">
        <f>IFERROR(VLOOKUP(REPORTE[[#This Row],[Lote]],PROYECCION[],6,FALSE),"")</f>
        <v/>
      </c>
      <c r="I192" s="96" t="s">
        <v>166</v>
      </c>
      <c r="J192" s="15">
        <f>SUM($S$180:$S$185)*REPORTE[[#This Row],[% Calibre]]</f>
        <v>2399.9999999999991</v>
      </c>
      <c r="K192" s="44">
        <v>5.0718512256973797E-2</v>
      </c>
      <c r="L192" s="42"/>
      <c r="M192" s="47"/>
      <c r="N192" s="84">
        <v>45391</v>
      </c>
      <c r="O192" s="85"/>
      <c r="P192" s="48" t="str">
        <f t="shared" si="90"/>
        <v/>
      </c>
      <c r="Q192" s="56">
        <f t="shared" si="91"/>
        <v>0</v>
      </c>
      <c r="R192" s="86"/>
      <c r="S192" s="57">
        <f t="shared" si="92"/>
        <v>0</v>
      </c>
      <c r="T192" s="87"/>
      <c r="U192" s="58">
        <f t="shared" si="93"/>
        <v>0</v>
      </c>
      <c r="V192" s="87"/>
      <c r="W192" s="57">
        <f t="shared" si="94"/>
        <v>0</v>
      </c>
      <c r="X192" s="87"/>
      <c r="Y192" s="59"/>
      <c r="Z192" s="15">
        <f t="shared" si="95"/>
        <v>0</v>
      </c>
      <c r="AA192" s="15" t="str">
        <f t="shared" si="96"/>
        <v/>
      </c>
      <c r="AB192" s="69" t="str">
        <f>IFERROR(REPORTE[[#This Row],[Kg Exportados]]/REPORTE[[#This Row],[Ha]],"")</f>
        <v/>
      </c>
      <c r="AC192" s="65" t="str">
        <f>IFERROR(VLOOKUP(REPORTE[[#This Row],[Lote]],PROYECCION[],16,FALSE),"")</f>
        <v/>
      </c>
      <c r="AD192" s="66" t="s">
        <v>32</v>
      </c>
      <c r="AE192" s="2"/>
      <c r="AG192" s="2"/>
      <c r="AK192" s="2"/>
      <c r="AL192" s="2"/>
      <c r="AN192" s="2"/>
    </row>
    <row r="193" spans="1:41" ht="14.25" customHeight="1" x14ac:dyDescent="0.25">
      <c r="A193" s="42">
        <f t="shared" si="89"/>
        <v>15</v>
      </c>
      <c r="B193" s="42" t="str">
        <f>TEXT(REPORTE[[#This Row],[Fecha]],"MMMM")</f>
        <v>Abril</v>
      </c>
      <c r="C193" s="42" t="str">
        <f>IFERROR(VLOOKUP(REPORTE[[#This Row],[Lote]],PROYECCION[],3,FALSE),"")</f>
        <v/>
      </c>
      <c r="D193" s="47" t="str">
        <f>IFERROR(VLOOKUP(REPORTE[[#This Row],[Lote]],PROYECCION[],2,FALSE),"")</f>
        <v/>
      </c>
      <c r="E193" s="65"/>
      <c r="F193" s="53" t="str">
        <f>IFERROR(VLOOKUP(REPORTE[[#This Row],[Lote]],PROYECCION[],5,FALSE),"")</f>
        <v/>
      </c>
      <c r="G193" s="42" t="str">
        <f>IFERROR(VLOOKUP(REPORTE[[#This Row],[Lote]],PROYECCION[],4,FALSE),"")</f>
        <v/>
      </c>
      <c r="H193" s="42" t="str">
        <f>IFERROR(VLOOKUP(REPORTE[[#This Row],[Lote]],PROYECCION[],6,FALSE),"")</f>
        <v/>
      </c>
      <c r="I193" s="96" t="s">
        <v>167</v>
      </c>
      <c r="J193" s="15">
        <f>SUM($S$180:$S$185)*REPORTE[[#This Row],[% Calibre]]</f>
        <v>139.99999999999972</v>
      </c>
      <c r="K193" s="44">
        <v>2.9585798816567999E-3</v>
      </c>
      <c r="L193" s="42"/>
      <c r="M193" s="47"/>
      <c r="N193" s="84">
        <v>45391</v>
      </c>
      <c r="O193" s="85"/>
      <c r="P193" s="48" t="str">
        <f t="shared" si="90"/>
        <v/>
      </c>
      <c r="Q193" s="56">
        <f t="shared" si="91"/>
        <v>0</v>
      </c>
      <c r="R193" s="86"/>
      <c r="S193" s="57">
        <f t="shared" si="92"/>
        <v>0</v>
      </c>
      <c r="T193" s="87"/>
      <c r="U193" s="58">
        <f t="shared" si="93"/>
        <v>0</v>
      </c>
      <c r="V193" s="87"/>
      <c r="W193" s="57">
        <f t="shared" si="94"/>
        <v>0</v>
      </c>
      <c r="X193" s="87"/>
      <c r="Y193" s="59"/>
      <c r="Z193" s="15">
        <f t="shared" si="95"/>
        <v>0</v>
      </c>
      <c r="AA193" s="15" t="str">
        <f t="shared" si="96"/>
        <v/>
      </c>
      <c r="AB193" s="69" t="str">
        <f>IFERROR(REPORTE[[#This Row],[Kg Exportados]]/REPORTE[[#This Row],[Ha]],"")</f>
        <v/>
      </c>
      <c r="AC193" s="65" t="str">
        <f>IFERROR(VLOOKUP(REPORTE[[#This Row],[Lote]],PROYECCION[],16,FALSE),"")</f>
        <v/>
      </c>
      <c r="AD193" s="66" t="s">
        <v>32</v>
      </c>
      <c r="AE193" s="2"/>
      <c r="AG193" s="2"/>
      <c r="AK193" s="2"/>
      <c r="AL193" s="2"/>
      <c r="AN193" s="2"/>
    </row>
    <row r="194" spans="1:41" ht="14.25" customHeight="1" x14ac:dyDescent="0.25">
      <c r="A194" s="42">
        <f t="shared" si="89"/>
        <v>15</v>
      </c>
      <c r="B194" s="42" t="str">
        <f>TEXT(REPORTE[[#This Row],[Fecha]],"MMMM")</f>
        <v>Abril</v>
      </c>
      <c r="C194" s="42" t="str">
        <f>IFERROR(VLOOKUP(REPORTE[[#This Row],[Lote]],PROYECCION[],3,FALSE),"")</f>
        <v>El Marsano</v>
      </c>
      <c r="D194" s="47" t="str">
        <f>IFERROR(VLOOKUP(REPORTE[[#This Row],[Lote]],PROYECCION[],2,FALSE),"")</f>
        <v>Agricola Guili S.A.C</v>
      </c>
      <c r="E194" s="65" t="s">
        <v>19</v>
      </c>
      <c r="F194" s="53">
        <f>IFERROR(VLOOKUP(REPORTE[[#This Row],[Lote]],PROYECCION[],5,FALSE),"")</f>
        <v>10.72</v>
      </c>
      <c r="G194" s="42" t="str">
        <f>IFERROR(VLOOKUP(REPORTE[[#This Row],[Lote]],PROYECCION[],4,FALSE),"")</f>
        <v>Hass</v>
      </c>
      <c r="H194" s="42" t="str">
        <f>IFERROR(VLOOKUP(REPORTE[[#This Row],[Lote]],PROYECCION[],6,FALSE),"")</f>
        <v>Negra</v>
      </c>
      <c r="I194" s="96"/>
      <c r="J194" s="15"/>
      <c r="K194" s="44"/>
      <c r="L194" s="42" t="s">
        <v>187</v>
      </c>
      <c r="M194" s="47" t="s">
        <v>188</v>
      </c>
      <c r="N194" s="84">
        <v>45391</v>
      </c>
      <c r="O194" s="85">
        <v>2</v>
      </c>
      <c r="P194" s="48">
        <f t="shared" si="90"/>
        <v>385</v>
      </c>
      <c r="Q194" s="56">
        <f t="shared" si="91"/>
        <v>77</v>
      </c>
      <c r="R194" s="86">
        <v>770</v>
      </c>
      <c r="S194" s="57">
        <f t="shared" si="92"/>
        <v>770</v>
      </c>
      <c r="T194" s="87">
        <v>1</v>
      </c>
      <c r="U194" s="58">
        <f t="shared" si="93"/>
        <v>0</v>
      </c>
      <c r="V194" s="87">
        <v>0</v>
      </c>
      <c r="W194" s="57">
        <f t="shared" si="94"/>
        <v>0</v>
      </c>
      <c r="X194" s="87">
        <v>0</v>
      </c>
      <c r="Y194" s="59"/>
      <c r="Z194" s="15">
        <f t="shared" si="95"/>
        <v>770</v>
      </c>
      <c r="AA194" s="15">
        <f t="shared" si="96"/>
        <v>71.828358208955223</v>
      </c>
      <c r="AB194" s="69">
        <f>IFERROR(REPORTE[[#This Row],[Kg Exportados]]/REPORTE[[#This Row],[Ha]],"")</f>
        <v>71.828358208955223</v>
      </c>
      <c r="AC194" s="65" t="str">
        <f>IFERROR(VLOOKUP(REPORTE[[#This Row],[Lote]],PROYECCION[],16,FALSE),"")</f>
        <v>Cosechando</v>
      </c>
      <c r="AD194" s="66" t="s">
        <v>72</v>
      </c>
      <c r="AE194" s="2"/>
      <c r="AG194" s="2"/>
      <c r="AK194" s="2"/>
      <c r="AL194" s="2"/>
      <c r="AN194" s="2"/>
    </row>
    <row r="195" spans="1:41" ht="14.25" customHeight="1" x14ac:dyDescent="0.25">
      <c r="A195" s="42">
        <f t="shared" si="89"/>
        <v>15</v>
      </c>
      <c r="B195" s="42" t="str">
        <f>TEXT(REPORTE[[#This Row],[Fecha]],"MMMM")</f>
        <v>Abril</v>
      </c>
      <c r="C195" s="42" t="str">
        <f>IFERROR(VLOOKUP(REPORTE[[#This Row],[Lote]],PROYECCION[],3,FALSE),"")</f>
        <v>El Marsano</v>
      </c>
      <c r="D195" s="47" t="str">
        <f>IFERROR(VLOOKUP(REPORTE[[#This Row],[Lote]],PROYECCION[],2,FALSE),"")</f>
        <v>Agricola Guili S.A.C</v>
      </c>
      <c r="E195" s="65" t="s">
        <v>17</v>
      </c>
      <c r="F195" s="53">
        <f>IFERROR(VLOOKUP(REPORTE[[#This Row],[Lote]],PROYECCION[],5,FALSE),"")</f>
        <v>26.08</v>
      </c>
      <c r="G195" s="42" t="str">
        <f>IFERROR(VLOOKUP(REPORTE[[#This Row],[Lote]],PROYECCION[],4,FALSE),"")</f>
        <v>Hass</v>
      </c>
      <c r="H195" s="42" t="str">
        <f>IFERROR(VLOOKUP(REPORTE[[#This Row],[Lote]],PROYECCION[],6,FALSE),"")</f>
        <v>Negra</v>
      </c>
      <c r="I195" s="96"/>
      <c r="J195" s="15"/>
      <c r="K195" s="44"/>
      <c r="L195" s="42" t="s">
        <v>187</v>
      </c>
      <c r="M195" s="47" t="s">
        <v>188</v>
      </c>
      <c r="N195" s="84">
        <v>45391</v>
      </c>
      <c r="O195" s="85">
        <v>2</v>
      </c>
      <c r="P195" s="48">
        <f t="shared" si="90"/>
        <v>345</v>
      </c>
      <c r="Q195" s="56">
        <f t="shared" si="91"/>
        <v>69</v>
      </c>
      <c r="R195" s="86">
        <v>690</v>
      </c>
      <c r="S195" s="57">
        <f t="shared" si="92"/>
        <v>690</v>
      </c>
      <c r="T195" s="87">
        <v>1</v>
      </c>
      <c r="U195" s="58">
        <f t="shared" si="93"/>
        <v>0</v>
      </c>
      <c r="V195" s="87">
        <v>0</v>
      </c>
      <c r="W195" s="57">
        <f t="shared" si="94"/>
        <v>0</v>
      </c>
      <c r="X195" s="87">
        <v>0</v>
      </c>
      <c r="Y195" s="59"/>
      <c r="Z195" s="15">
        <f t="shared" si="95"/>
        <v>690</v>
      </c>
      <c r="AA195" s="15">
        <f t="shared" si="96"/>
        <v>26.45705521472393</v>
      </c>
      <c r="AB195" s="69">
        <f>IFERROR(REPORTE[[#This Row],[Kg Exportados]]/REPORTE[[#This Row],[Ha]],"")</f>
        <v>26.45705521472393</v>
      </c>
      <c r="AC195" s="65" t="str">
        <f>IFERROR(VLOOKUP(REPORTE[[#This Row],[Lote]],PROYECCION[],16,FALSE),"")</f>
        <v>Cosechando</v>
      </c>
      <c r="AD195" s="66" t="s">
        <v>72</v>
      </c>
      <c r="AE195" s="2"/>
      <c r="AG195" s="2"/>
      <c r="AK195" s="2"/>
      <c r="AL195" s="2"/>
      <c r="AN195" s="2"/>
    </row>
    <row r="196" spans="1:41" ht="14.25" customHeight="1" x14ac:dyDescent="0.25">
      <c r="A196" s="42">
        <f t="shared" si="89"/>
        <v>15</v>
      </c>
      <c r="B196" s="42" t="str">
        <f>TEXT(REPORTE[[#This Row],[Fecha]],"MMMM")</f>
        <v>Abril</v>
      </c>
      <c r="C196" s="42" t="str">
        <f>IFERROR(VLOOKUP(REPORTE[[#This Row],[Lote]],PROYECCION[],3,FALSE),"")</f>
        <v>El Marsano</v>
      </c>
      <c r="D196" s="47" t="str">
        <f>IFERROR(VLOOKUP(REPORTE[[#This Row],[Lote]],PROYECCION[],2,FALSE),"")</f>
        <v>Agricola Guili S.A.C</v>
      </c>
      <c r="E196" s="65" t="s">
        <v>19</v>
      </c>
      <c r="F196" s="53">
        <f>IFERROR(VLOOKUP(REPORTE[[#This Row],[Lote]],PROYECCION[],5,FALSE),"")</f>
        <v>10.72</v>
      </c>
      <c r="G196" s="42" t="str">
        <f>IFERROR(VLOOKUP(REPORTE[[#This Row],[Lote]],PROYECCION[],4,FALSE),"")</f>
        <v>Hass</v>
      </c>
      <c r="H196" s="42" t="str">
        <f>IFERROR(VLOOKUP(REPORTE[[#This Row],[Lote]],PROYECCION[],6,FALSE),"")</f>
        <v>Negra</v>
      </c>
      <c r="I196" s="96"/>
      <c r="J196" s="15"/>
      <c r="K196" s="44"/>
      <c r="L196" s="42" t="s">
        <v>187</v>
      </c>
      <c r="M196" s="47" t="s">
        <v>188</v>
      </c>
      <c r="N196" s="84">
        <v>45391</v>
      </c>
      <c r="O196" s="85">
        <v>1</v>
      </c>
      <c r="P196" s="48">
        <f t="shared" si="90"/>
        <v>247</v>
      </c>
      <c r="Q196" s="56">
        <f t="shared" si="91"/>
        <v>24.7</v>
      </c>
      <c r="R196" s="86">
        <v>247</v>
      </c>
      <c r="S196" s="57">
        <f t="shared" si="92"/>
        <v>247</v>
      </c>
      <c r="T196" s="87">
        <v>1</v>
      </c>
      <c r="U196" s="58">
        <f t="shared" si="93"/>
        <v>0</v>
      </c>
      <c r="V196" s="87">
        <v>0</v>
      </c>
      <c r="W196" s="57">
        <f t="shared" si="94"/>
        <v>0</v>
      </c>
      <c r="X196" s="87">
        <v>0</v>
      </c>
      <c r="Y196" s="59"/>
      <c r="Z196" s="15">
        <f t="shared" si="95"/>
        <v>247</v>
      </c>
      <c r="AA196" s="15">
        <f t="shared" si="96"/>
        <v>23.041044776119403</v>
      </c>
      <c r="AB196" s="69">
        <f>IFERROR(REPORTE[[#This Row],[Kg Exportados]]/REPORTE[[#This Row],[Ha]],"")</f>
        <v>23.041044776119403</v>
      </c>
      <c r="AC196" s="65" t="str">
        <f>IFERROR(VLOOKUP(REPORTE[[#This Row],[Lote]],PROYECCION[],16,FALSE),"")</f>
        <v>Cosechando</v>
      </c>
      <c r="AD196" s="66" t="s">
        <v>72</v>
      </c>
      <c r="AE196" s="2"/>
      <c r="AG196" s="2"/>
      <c r="AK196" s="2"/>
      <c r="AL196" s="2"/>
      <c r="AN196" s="2"/>
    </row>
    <row r="197" spans="1:41" ht="14.25" customHeight="1" x14ac:dyDescent="0.25">
      <c r="A197" s="42">
        <f t="shared" si="89"/>
        <v>15</v>
      </c>
      <c r="B197" s="42" t="str">
        <f>TEXT(REPORTE[[#This Row],[Fecha]],"MMMM")</f>
        <v>Abril</v>
      </c>
      <c r="C197" s="42" t="str">
        <f>IFERROR(VLOOKUP(REPORTE[[#This Row],[Lote]],PROYECCION[],3,FALSE),"")</f>
        <v>El Marsano</v>
      </c>
      <c r="D197" s="47" t="str">
        <f>IFERROR(VLOOKUP(REPORTE[[#This Row],[Lote]],PROYECCION[],2,FALSE),"")</f>
        <v>Agricola Guili S.A.C</v>
      </c>
      <c r="E197" s="65" t="s">
        <v>13</v>
      </c>
      <c r="F197" s="53">
        <f>IFERROR(VLOOKUP(REPORTE[[#This Row],[Lote]],PROYECCION[],5,FALSE),"")</f>
        <v>13.41</v>
      </c>
      <c r="G197" s="42" t="str">
        <f>IFERROR(VLOOKUP(REPORTE[[#This Row],[Lote]],PROYECCION[],4,FALSE),"")</f>
        <v>Hass</v>
      </c>
      <c r="H197" s="42" t="str">
        <f>IFERROR(VLOOKUP(REPORTE[[#This Row],[Lote]],PROYECCION[],6,FALSE),"")</f>
        <v>Negra</v>
      </c>
      <c r="I197" s="96"/>
      <c r="J197" s="15"/>
      <c r="K197" s="44"/>
      <c r="L197" s="42" t="s">
        <v>189</v>
      </c>
      <c r="M197" s="47" t="s">
        <v>188</v>
      </c>
      <c r="N197" s="84">
        <v>45391</v>
      </c>
      <c r="O197" s="85">
        <v>1</v>
      </c>
      <c r="P197" s="48">
        <f t="shared" si="90"/>
        <v>453</v>
      </c>
      <c r="Q197" s="56">
        <f t="shared" si="91"/>
        <v>45.3</v>
      </c>
      <c r="R197" s="86">
        <v>453</v>
      </c>
      <c r="S197" s="57">
        <f t="shared" si="92"/>
        <v>453</v>
      </c>
      <c r="T197" s="87">
        <v>1</v>
      </c>
      <c r="U197" s="58">
        <f t="shared" si="93"/>
        <v>0</v>
      </c>
      <c r="V197" s="87">
        <v>0</v>
      </c>
      <c r="W197" s="57">
        <f t="shared" si="94"/>
        <v>0</v>
      </c>
      <c r="X197" s="87">
        <v>0</v>
      </c>
      <c r="Y197" s="59"/>
      <c r="Z197" s="15">
        <f t="shared" si="95"/>
        <v>453</v>
      </c>
      <c r="AA197" s="15">
        <f t="shared" si="96"/>
        <v>33.780760626398212</v>
      </c>
      <c r="AB197" s="69">
        <f>IFERROR(REPORTE[[#This Row],[Kg Exportados]]/REPORTE[[#This Row],[Ha]],"")</f>
        <v>33.780760626398212</v>
      </c>
      <c r="AC197" s="65" t="str">
        <f>IFERROR(VLOOKUP(REPORTE[[#This Row],[Lote]],PROYECCION[],16,FALSE),"")</f>
        <v>Cosechando</v>
      </c>
      <c r="AD197" s="66" t="s">
        <v>72</v>
      </c>
      <c r="AE197" s="2"/>
      <c r="AG197" s="2"/>
      <c r="AK197" s="2"/>
      <c r="AL197" s="2"/>
      <c r="AN197" s="2"/>
    </row>
    <row r="198" spans="1:41" ht="14.25" customHeight="1" x14ac:dyDescent="0.25">
      <c r="A198" s="42">
        <f t="shared" si="89"/>
        <v>15</v>
      </c>
      <c r="B198" s="42" t="str">
        <f>TEXT(REPORTE[[#This Row],[Fecha]],"MMMM")</f>
        <v>Abril</v>
      </c>
      <c r="C198" s="42" t="str">
        <f>IFERROR(VLOOKUP(REPORTE[[#This Row],[Lote]],PROYECCION[],3,FALSE),"")</f>
        <v/>
      </c>
      <c r="D198" s="47" t="str">
        <f>IFERROR(VLOOKUP(REPORTE[[#This Row],[Lote]],PROYECCION[],2,FALSE),"")</f>
        <v/>
      </c>
      <c r="E198" s="65"/>
      <c r="F198" s="53" t="str">
        <f>IFERROR(VLOOKUP(REPORTE[[#This Row],[Lote]],PROYECCION[],5,FALSE),"")</f>
        <v/>
      </c>
      <c r="G198" s="42" t="str">
        <f>IFERROR(VLOOKUP(REPORTE[[#This Row],[Lote]],PROYECCION[],4,FALSE),"")</f>
        <v/>
      </c>
      <c r="H198" s="42" t="str">
        <f>IFERROR(VLOOKUP(REPORTE[[#This Row],[Lote]],PROYECCION[],6,FALSE),"")</f>
        <v/>
      </c>
      <c r="I198" s="96" t="s">
        <v>153</v>
      </c>
      <c r="J198" s="15">
        <f>SUM($S$194:$S$197)*REPORTE[[#This Row],[% Calibre]]</f>
        <v>1909.9999999999993</v>
      </c>
      <c r="K198" s="44">
        <v>0.88425925925925897</v>
      </c>
      <c r="L198" s="42"/>
      <c r="M198" s="47"/>
      <c r="N198" s="84">
        <v>45391</v>
      </c>
      <c r="O198" s="85"/>
      <c r="P198" s="48" t="str">
        <f t="shared" si="90"/>
        <v/>
      </c>
      <c r="Q198" s="56">
        <f t="shared" si="91"/>
        <v>0</v>
      </c>
      <c r="R198" s="86"/>
      <c r="S198" s="57">
        <f t="shared" si="92"/>
        <v>0</v>
      </c>
      <c r="T198" s="87"/>
      <c r="U198" s="58">
        <f t="shared" si="93"/>
        <v>0</v>
      </c>
      <c r="V198" s="87"/>
      <c r="W198" s="57">
        <f t="shared" si="94"/>
        <v>0</v>
      </c>
      <c r="X198" s="87"/>
      <c r="Y198" s="59"/>
      <c r="Z198" s="15">
        <f t="shared" si="95"/>
        <v>0</v>
      </c>
      <c r="AA198" s="15" t="str">
        <f t="shared" si="96"/>
        <v/>
      </c>
      <c r="AB198" s="69" t="str">
        <f>IFERROR(REPORTE[[#This Row],[Kg Exportados]]/REPORTE[[#This Row],[Ha]],"")</f>
        <v/>
      </c>
      <c r="AC198" s="65" t="str">
        <f>IFERROR(VLOOKUP(REPORTE[[#This Row],[Lote]],PROYECCION[],16,FALSE),"")</f>
        <v/>
      </c>
      <c r="AD198" s="66" t="s">
        <v>72</v>
      </c>
      <c r="AE198" s="2"/>
      <c r="AG198" s="2"/>
      <c r="AK198" s="2"/>
      <c r="AL198" s="2"/>
      <c r="AN198" s="2"/>
    </row>
    <row r="199" spans="1:41" ht="14.25" customHeight="1" x14ac:dyDescent="0.25">
      <c r="A199" s="42">
        <f t="shared" si="89"/>
        <v>15</v>
      </c>
      <c r="B199" s="42" t="str">
        <f>TEXT(REPORTE[[#This Row],[Fecha]],"MMMM")</f>
        <v>Abril</v>
      </c>
      <c r="C199" s="42" t="str">
        <f>IFERROR(VLOOKUP(REPORTE[[#This Row],[Lote]],PROYECCION[],3,FALSE),"")</f>
        <v/>
      </c>
      <c r="D199" s="47" t="str">
        <f>IFERROR(VLOOKUP(REPORTE[[#This Row],[Lote]],PROYECCION[],2,FALSE),"")</f>
        <v/>
      </c>
      <c r="E199" s="65"/>
      <c r="F199" s="53" t="str">
        <f>IFERROR(VLOOKUP(REPORTE[[#This Row],[Lote]],PROYECCION[],5,FALSE),"")</f>
        <v/>
      </c>
      <c r="G199" s="42" t="str">
        <f>IFERROR(VLOOKUP(REPORTE[[#This Row],[Lote]],PROYECCION[],4,FALSE),"")</f>
        <v/>
      </c>
      <c r="H199" s="42" t="str">
        <f>IFERROR(VLOOKUP(REPORTE[[#This Row],[Lote]],PROYECCION[],6,FALSE),"")</f>
        <v/>
      </c>
      <c r="I199" s="96" t="s">
        <v>159</v>
      </c>
      <c r="J199" s="15">
        <f>SUM($S$194:$S$197)*REPORTE[[#This Row],[% Calibre]]</f>
        <v>229.99999999999895</v>
      </c>
      <c r="K199" s="44">
        <v>0.106481481481481</v>
      </c>
      <c r="L199" s="42"/>
      <c r="M199" s="47"/>
      <c r="N199" s="84">
        <v>45391</v>
      </c>
      <c r="O199" s="85"/>
      <c r="P199" s="48" t="str">
        <f t="shared" si="90"/>
        <v/>
      </c>
      <c r="Q199" s="56">
        <f t="shared" si="91"/>
        <v>0</v>
      </c>
      <c r="R199" s="86"/>
      <c r="S199" s="57">
        <f t="shared" si="92"/>
        <v>0</v>
      </c>
      <c r="T199" s="87"/>
      <c r="U199" s="58">
        <f t="shared" si="93"/>
        <v>0</v>
      </c>
      <c r="V199" s="87"/>
      <c r="W199" s="57">
        <f t="shared" si="94"/>
        <v>0</v>
      </c>
      <c r="X199" s="87"/>
      <c r="Y199" s="59"/>
      <c r="Z199" s="15">
        <f t="shared" si="95"/>
        <v>0</v>
      </c>
      <c r="AA199" s="15" t="str">
        <f t="shared" si="96"/>
        <v/>
      </c>
      <c r="AB199" s="69" t="str">
        <f>IFERROR(REPORTE[[#This Row],[Kg Exportados]]/REPORTE[[#This Row],[Ha]],"")</f>
        <v/>
      </c>
      <c r="AC199" s="65" t="str">
        <f>IFERROR(VLOOKUP(REPORTE[[#This Row],[Lote]],PROYECCION[],16,FALSE),"")</f>
        <v/>
      </c>
      <c r="AD199" s="66" t="s">
        <v>72</v>
      </c>
      <c r="AE199" s="2"/>
      <c r="AG199" s="2"/>
      <c r="AK199" s="2"/>
      <c r="AL199" s="2"/>
      <c r="AN199" s="2"/>
    </row>
    <row r="200" spans="1:41" ht="14.25" customHeight="1" x14ac:dyDescent="0.25">
      <c r="A200" s="42">
        <f t="shared" si="89"/>
        <v>15</v>
      </c>
      <c r="B200" s="42" t="str">
        <f>TEXT(REPORTE[[#This Row],[Fecha]],"MMMM")</f>
        <v>Abril</v>
      </c>
      <c r="C200" s="42" t="str">
        <f>IFERROR(VLOOKUP(REPORTE[[#This Row],[Lote]],PROYECCION[],3,FALSE),"")</f>
        <v/>
      </c>
      <c r="D200" s="47" t="str">
        <f>IFERROR(VLOOKUP(REPORTE[[#This Row],[Lote]],PROYECCION[],2,FALSE),"")</f>
        <v/>
      </c>
      <c r="E200" s="65"/>
      <c r="F200" s="53" t="str">
        <f>IFERROR(VLOOKUP(REPORTE[[#This Row],[Lote]],PROYECCION[],5,FALSE),"")</f>
        <v/>
      </c>
      <c r="G200" s="42" t="str">
        <f>IFERROR(VLOOKUP(REPORTE[[#This Row],[Lote]],PROYECCION[],4,FALSE),"")</f>
        <v/>
      </c>
      <c r="H200" s="42" t="str">
        <f>IFERROR(VLOOKUP(REPORTE[[#This Row],[Lote]],PROYECCION[],6,FALSE),"")</f>
        <v/>
      </c>
      <c r="I200" s="96" t="s">
        <v>160</v>
      </c>
      <c r="J200" s="15">
        <f>SUM($S$194:$S$197)*REPORTE[[#This Row],[% Calibre]]</f>
        <v>20.000000000000089</v>
      </c>
      <c r="K200" s="44">
        <v>9.2592592592593004E-3</v>
      </c>
      <c r="L200" s="42"/>
      <c r="M200" s="47"/>
      <c r="N200" s="84">
        <v>45391</v>
      </c>
      <c r="O200" s="85"/>
      <c r="P200" s="48" t="str">
        <f t="shared" si="90"/>
        <v/>
      </c>
      <c r="Q200" s="56">
        <f t="shared" si="91"/>
        <v>0</v>
      </c>
      <c r="R200" s="86"/>
      <c r="S200" s="57">
        <f t="shared" si="92"/>
        <v>0</v>
      </c>
      <c r="T200" s="87"/>
      <c r="U200" s="58">
        <f t="shared" si="93"/>
        <v>0</v>
      </c>
      <c r="V200" s="87"/>
      <c r="W200" s="57">
        <f t="shared" si="94"/>
        <v>0</v>
      </c>
      <c r="X200" s="87"/>
      <c r="Y200" s="59"/>
      <c r="Z200" s="15">
        <f t="shared" si="95"/>
        <v>0</v>
      </c>
      <c r="AA200" s="15" t="str">
        <f t="shared" si="96"/>
        <v/>
      </c>
      <c r="AB200" s="69" t="str">
        <f>IFERROR(REPORTE[[#This Row],[Kg Exportados]]/REPORTE[[#This Row],[Ha]],"")</f>
        <v/>
      </c>
      <c r="AC200" s="65" t="str">
        <f>IFERROR(VLOOKUP(REPORTE[[#This Row],[Lote]],PROYECCION[],16,FALSE),"")</f>
        <v/>
      </c>
      <c r="AD200" s="66" t="s">
        <v>72</v>
      </c>
      <c r="AE200" s="2"/>
      <c r="AG200" s="2"/>
      <c r="AK200" s="2"/>
      <c r="AL200" s="2"/>
      <c r="AN200" s="2"/>
    </row>
    <row r="201" spans="1:41" ht="27" customHeight="1" x14ac:dyDescent="0.25">
      <c r="A201" s="11"/>
      <c r="B201" s="11"/>
      <c r="C201" s="11"/>
      <c r="D201" s="11"/>
      <c r="E201" s="6"/>
      <c r="F201" s="6"/>
      <c r="G201" s="6"/>
      <c r="H201" s="6"/>
      <c r="I201" s="97"/>
      <c r="J201" s="41">
        <f>SUBTOTAL(9,REPORTE[KgCalibre])</f>
        <v>313919.99999999924</v>
      </c>
      <c r="K201" s="45"/>
      <c r="L201" s="6"/>
      <c r="M201" s="6"/>
      <c r="N201" s="6"/>
      <c r="O201" s="39">
        <f>SUBTOTAL(9,REPORTE[Total Jabas])</f>
        <v>792</v>
      </c>
      <c r="P201" s="12"/>
      <c r="R201" s="40">
        <f>SUBTOTAL(9,REPORTE[Ingreso Packing (Kg Bruto)])</f>
        <v>333646</v>
      </c>
      <c r="S201" s="41">
        <f>SUBTOTAL(9,REPORTE[Kg Exportados])</f>
        <v>313919.99999999988</v>
      </c>
      <c r="U201" s="41">
        <f>SUBTOTAL(9,REPORTE[[Kg Descarte ]])</f>
        <v>6991.7299999999959</v>
      </c>
      <c r="W201" s="41">
        <f>SUBTOTAL(9,REPORTE[[Kg Merma ]])</f>
        <v>12734.269999999995</v>
      </c>
      <c r="Z201" s="41">
        <f>SUBTOTAL(9,REPORTE[Kg Brutos Lote])</f>
        <v>336322.5</v>
      </c>
      <c r="AA201" s="6"/>
      <c r="AB201" s="6"/>
      <c r="AC201" s="32"/>
      <c r="AD201" s="32"/>
      <c r="AE201" s="67"/>
      <c r="AF201" s="6"/>
      <c r="AG201" s="67"/>
      <c r="AH201"/>
      <c r="AI201" s="6"/>
      <c r="AJ201" s="6"/>
      <c r="AM201" s="13"/>
      <c r="AN201" s="14"/>
      <c r="AO201" s="6"/>
    </row>
    <row r="202" spans="1:41" x14ac:dyDescent="0.25">
      <c r="O202" s="2"/>
      <c r="P202" s="4"/>
      <c r="U202" s="4"/>
      <c r="Z202" s="4"/>
      <c r="AA202" s="4"/>
      <c r="AB202" s="4"/>
      <c r="AC202" s="4"/>
      <c r="AF202" s="4"/>
    </row>
    <row r="203" spans="1:41" ht="14.45" customHeight="1" x14ac:dyDescent="0.25">
      <c r="O203" s="2"/>
      <c r="Z203" s="67"/>
      <c r="AC203" s="2"/>
      <c r="AN203" s="2"/>
    </row>
    <row r="204" spans="1:41" x14ac:dyDescent="0.25">
      <c r="O204" s="2"/>
      <c r="U204" s="100">
        <f>SUM(S201+U201+W201)</f>
        <v>333645.99999999988</v>
      </c>
      <c r="V204" s="100"/>
      <c r="AC204" s="2"/>
      <c r="AN204" s="2"/>
    </row>
    <row r="205" spans="1:41" x14ac:dyDescent="0.25">
      <c r="O205" s="2"/>
      <c r="R205" s="4"/>
      <c r="AC205" s="2"/>
      <c r="AN205" s="2"/>
    </row>
    <row r="206" spans="1:41" x14ac:dyDescent="0.25">
      <c r="O206" s="2"/>
      <c r="AC206" s="2"/>
      <c r="AN206" s="2"/>
    </row>
    <row r="207" spans="1:41" x14ac:dyDescent="0.25">
      <c r="O207" s="2"/>
      <c r="AA207" s="9"/>
      <c r="AB207" s="9"/>
      <c r="AC207" s="9"/>
    </row>
    <row r="208" spans="1:41" x14ac:dyDescent="0.25">
      <c r="O208" s="2"/>
      <c r="AA208" s="9"/>
      <c r="AB208" s="9"/>
      <c r="AC208" s="9"/>
    </row>
    <row r="209" spans="15:29" x14ac:dyDescent="0.25">
      <c r="O209" s="2"/>
      <c r="AA209" s="9"/>
      <c r="AB209" s="9"/>
      <c r="AC209" s="9"/>
    </row>
    <row r="210" spans="15:29" x14ac:dyDescent="0.25">
      <c r="O210" s="2"/>
    </row>
    <row r="211" spans="15:29" x14ac:dyDescent="0.25">
      <c r="O211" s="2"/>
    </row>
    <row r="212" spans="15:29" x14ac:dyDescent="0.25">
      <c r="O212" s="2"/>
    </row>
    <row r="213" spans="15:29" x14ac:dyDescent="0.25">
      <c r="O213" s="2"/>
    </row>
    <row r="214" spans="15:29" x14ac:dyDescent="0.25">
      <c r="O214" s="2"/>
      <c r="P214" s="4"/>
    </row>
    <row r="215" spans="15:29" x14ac:dyDescent="0.25">
      <c r="O215" s="2"/>
      <c r="P215" s="4"/>
    </row>
    <row r="216" spans="15:29" x14ac:dyDescent="0.25">
      <c r="O216" s="2"/>
      <c r="P216" s="4"/>
    </row>
    <row r="217" spans="15:29" x14ac:dyDescent="0.25">
      <c r="O217" s="2"/>
      <c r="P217" s="4"/>
    </row>
    <row r="218" spans="15:29" x14ac:dyDescent="0.25">
      <c r="O218" s="2"/>
      <c r="P218" s="4"/>
    </row>
    <row r="219" spans="15:29" x14ac:dyDescent="0.25">
      <c r="O219" s="2"/>
      <c r="P219" s="4"/>
    </row>
    <row r="220" spans="15:29" x14ac:dyDescent="0.25">
      <c r="O220" s="2"/>
      <c r="P220" s="4"/>
    </row>
    <row r="221" spans="15:29" x14ac:dyDescent="0.25">
      <c r="O221" s="2"/>
      <c r="P221" s="4"/>
    </row>
    <row r="222" spans="15:29" x14ac:dyDescent="0.25">
      <c r="O222" s="2"/>
      <c r="P222" s="4"/>
    </row>
    <row r="223" spans="15:29" x14ac:dyDescent="0.25">
      <c r="O223" s="2"/>
      <c r="P223" s="4"/>
    </row>
    <row r="224" spans="15:29" x14ac:dyDescent="0.25">
      <c r="O224" s="2"/>
      <c r="P224" s="4"/>
    </row>
    <row r="225" spans="3:18" x14ac:dyDescent="0.25">
      <c r="R225" s="4"/>
    </row>
    <row r="226" spans="3:18" x14ac:dyDescent="0.25">
      <c r="C226" s="6"/>
    </row>
  </sheetData>
  <mergeCells count="1">
    <mergeCell ref="U204:V204"/>
  </mergeCells>
  <phoneticPr fontId="10" type="noConversion"/>
  <conditionalFormatting sqref="L1:M1048576">
    <cfRule type="expression" dxfId="1" priority="5">
      <formula>$AD1=""</formula>
    </cfRule>
  </conditionalFormatting>
  <conditionalFormatting sqref="R1:S200 U1:U200 W1:W200">
    <cfRule type="expression" dxfId="0" priority="572">
      <formula>$R1&lt;&gt;ROUND($S1+$U1+$W1,2)</formula>
    </cfRule>
  </conditionalFormatting>
  <pageMargins left="0.7" right="0.7" top="0.75" bottom="0.75" header="0.3" footer="0.3"/>
  <pageSetup paperSize="9" scale="24"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F6C6-63A0-428C-8FF8-9D74AE4D75AA}">
  <sheetPr>
    <tabColor rgb="FFC00000"/>
    <pageSetUpPr fitToPage="1"/>
  </sheetPr>
  <dimension ref="A1:R35"/>
  <sheetViews>
    <sheetView showGridLines="0" zoomScale="80" zoomScaleNormal="80" workbookViewId="0">
      <pane ySplit="1" topLeftCell="A2" activePane="bottomLeft" state="frozen"/>
      <selection pane="bottomLeft" activeCell="O41" sqref="O41"/>
    </sheetView>
  </sheetViews>
  <sheetFormatPr baseColWidth="10" defaultRowHeight="15" x14ac:dyDescent="0.25"/>
  <cols>
    <col min="1" max="1" width="10.7109375" style="7" customWidth="1"/>
    <col min="2" max="2" width="18.85546875" style="7" customWidth="1"/>
    <col min="3" max="3" width="14.85546875" style="7" customWidth="1"/>
    <col min="4" max="4" width="10.7109375" style="7" customWidth="1"/>
    <col min="5" max="5" width="12.140625" style="7" customWidth="1"/>
    <col min="6" max="8" width="10.7109375" style="7" customWidth="1"/>
    <col min="9" max="9" width="13.85546875" style="7" customWidth="1"/>
    <col min="10" max="10" width="14.7109375" style="7" customWidth="1"/>
    <col min="11" max="15" width="14.28515625" style="7" customWidth="1"/>
    <col min="16" max="16" width="13.140625" style="7" bestFit="1" customWidth="1"/>
    <col min="18" max="18" width="12.5703125" bestFit="1" customWidth="1"/>
  </cols>
  <sheetData>
    <row r="1" spans="1:16" s="22" customFormat="1" ht="34.5" customHeight="1" x14ac:dyDescent="0.2">
      <c r="A1" s="18" t="s">
        <v>4</v>
      </c>
      <c r="B1" s="19" t="s">
        <v>1</v>
      </c>
      <c r="C1" s="19" t="s">
        <v>3</v>
      </c>
      <c r="D1" s="19" t="s">
        <v>6</v>
      </c>
      <c r="E1" s="19" t="s">
        <v>60</v>
      </c>
      <c r="F1" s="19" t="s">
        <v>11</v>
      </c>
      <c r="G1" s="19" t="s">
        <v>61</v>
      </c>
      <c r="H1" s="19" t="s">
        <v>62</v>
      </c>
      <c r="I1" s="19" t="s">
        <v>63</v>
      </c>
      <c r="J1" s="19" t="s">
        <v>64</v>
      </c>
      <c r="K1" s="19" t="s">
        <v>65</v>
      </c>
      <c r="L1" s="20" t="s">
        <v>59</v>
      </c>
      <c r="M1" s="20" t="s">
        <v>58</v>
      </c>
      <c r="N1" s="23" t="s">
        <v>110</v>
      </c>
      <c r="O1" s="23" t="s">
        <v>56</v>
      </c>
      <c r="P1" s="21" t="s">
        <v>10</v>
      </c>
    </row>
    <row r="2" spans="1:16" x14ac:dyDescent="0.25">
      <c r="A2" s="26" t="s">
        <v>20</v>
      </c>
      <c r="B2" s="26" t="s">
        <v>2</v>
      </c>
      <c r="C2" s="26" t="s">
        <v>179</v>
      </c>
      <c r="D2" s="26" t="s">
        <v>0</v>
      </c>
      <c r="E2" s="27">
        <v>8.052521008403362</v>
      </c>
      <c r="F2" s="28" t="s">
        <v>12</v>
      </c>
      <c r="G2" s="29">
        <v>43754</v>
      </c>
      <c r="H2" s="26">
        <v>452</v>
      </c>
      <c r="I2" s="30">
        <f>PROYECCION[[#This Row],[Area]]*PROYECCION[[#This Row],[Plantas por Ha]]</f>
        <v>3639.7394957983197</v>
      </c>
      <c r="J2" s="30">
        <v>237.65299714403793</v>
      </c>
      <c r="K2" s="26">
        <v>0.22</v>
      </c>
      <c r="L2" s="31">
        <f>PROYECCION[[#This Row],[Plantas por Ha]]*PROYECCION[[#This Row],[Frutos por Planta]]*PROYECCION[[#This Row],[Peso Promedio Fruto]]</f>
        <v>23632.214036003134</v>
      </c>
      <c r="M2" s="31">
        <f>PROYECCION[[#This Row],[Plantas por Lote]]*PROYECCION[[#This Row],[Frutos por Planta]]*PROYECCION[[#This Row],[Peso Promedio Fruto]]</f>
        <v>190298.90000000002</v>
      </c>
      <c r="N2" s="31">
        <f>PROYECCION[[#This Row],[Kg Bruto Lote]]*0.85</f>
        <v>161754.065</v>
      </c>
      <c r="O2" s="31">
        <f>PROYECCION[[#This Row],[Kg Exportado Lote]]/PROYECCION[[#This Row],[Area]]</f>
        <v>20087.38193060266</v>
      </c>
      <c r="P2" s="31" t="s">
        <v>52</v>
      </c>
    </row>
    <row r="3" spans="1:16" x14ac:dyDescent="0.25">
      <c r="A3" s="26" t="s">
        <v>22</v>
      </c>
      <c r="B3" s="26" t="s">
        <v>2</v>
      </c>
      <c r="C3" s="26" t="s">
        <v>179</v>
      </c>
      <c r="D3" s="26" t="s">
        <v>0</v>
      </c>
      <c r="E3" s="27">
        <v>9.6197478991596643</v>
      </c>
      <c r="F3" s="28" t="s">
        <v>12</v>
      </c>
      <c r="G3" s="29">
        <v>43738</v>
      </c>
      <c r="H3" s="26">
        <v>452</v>
      </c>
      <c r="I3" s="30">
        <f>PROYECCION[[#This Row],[Area]]*PROYECCION[[#This Row],[Plantas por Ha]]</f>
        <v>4348.1260504201682</v>
      </c>
      <c r="J3" s="30">
        <v>228.54199452289888</v>
      </c>
      <c r="K3" s="26">
        <v>0.22</v>
      </c>
      <c r="L3" s="31">
        <f>PROYECCION[[#This Row],[Plantas por Ha]]*PROYECCION[[#This Row],[Frutos por Planta]]*PROYECCION[[#This Row],[Peso Promedio Fruto]]</f>
        <v>22726.215935357064</v>
      </c>
      <c r="M3" s="31">
        <f>PROYECCION[[#This Row],[Plantas por Lote]]*PROYECCION[[#This Row],[Frutos por Planta]]*PROYECCION[[#This Row],[Peso Promedio Fruto]]</f>
        <v>218620.46799999999</v>
      </c>
      <c r="N3" s="31">
        <f>PROYECCION[[#This Row],[Kg Bruto Lote]]*0.85</f>
        <v>185827.39779999998</v>
      </c>
      <c r="O3" s="31">
        <f>PROYECCION[[#This Row],[Kg Exportado Lote]]/PROYECCION[[#This Row],[Area]]</f>
        <v>19317.283545053502</v>
      </c>
      <c r="P3" s="31" t="s">
        <v>52</v>
      </c>
    </row>
    <row r="4" spans="1:16" x14ac:dyDescent="0.25">
      <c r="A4" s="26" t="s">
        <v>21</v>
      </c>
      <c r="B4" s="26" t="s">
        <v>2</v>
      </c>
      <c r="C4" s="26" t="s">
        <v>179</v>
      </c>
      <c r="D4" s="26" t="s">
        <v>0</v>
      </c>
      <c r="E4" s="27">
        <v>9.7710084033613445</v>
      </c>
      <c r="F4" s="28" t="s">
        <v>12</v>
      </c>
      <c r="G4" s="29">
        <v>43731</v>
      </c>
      <c r="H4" s="26">
        <v>452</v>
      </c>
      <c r="I4" s="30">
        <f>PROYECCION[[#This Row],[Area]]*PROYECCION[[#This Row],[Plantas por Ha]]</f>
        <v>4416.4957983193281</v>
      </c>
      <c r="J4" s="30">
        <v>288.59133082047248</v>
      </c>
      <c r="K4" s="26">
        <v>0.22</v>
      </c>
      <c r="L4" s="31">
        <f>PROYECCION[[#This Row],[Plantas por Ha]]*PROYECCION[[#This Row],[Frutos por Planta]]*PROYECCION[[#This Row],[Peso Promedio Fruto]]</f>
        <v>28697.521936787783</v>
      </c>
      <c r="M4" s="31">
        <f>PROYECCION[[#This Row],[Plantas por Lote]]*PROYECCION[[#This Row],[Frutos por Planta]]*PROYECCION[[#This Row],[Peso Promedio Fruto]]</f>
        <v>280403.728</v>
      </c>
      <c r="N4" s="31">
        <f>PROYECCION[[#This Row],[Kg Bruto Lote]]*0.85</f>
        <v>238343.16879999998</v>
      </c>
      <c r="O4" s="31">
        <f>PROYECCION[[#This Row],[Kg Exportado Lote]]/PROYECCION[[#This Row],[Area]]</f>
        <v>24392.893646269618</v>
      </c>
      <c r="P4" s="31" t="s">
        <v>52</v>
      </c>
    </row>
    <row r="5" spans="1:16" x14ac:dyDescent="0.25">
      <c r="A5" s="26" t="s">
        <v>23</v>
      </c>
      <c r="B5" s="26" t="s">
        <v>2</v>
      </c>
      <c r="C5" s="26" t="s">
        <v>179</v>
      </c>
      <c r="D5" s="26" t="s">
        <v>0</v>
      </c>
      <c r="E5" s="27">
        <v>9.5840336134453779</v>
      </c>
      <c r="F5" s="28" t="s">
        <v>12</v>
      </c>
      <c r="G5" s="29">
        <v>43748</v>
      </c>
      <c r="H5" s="26">
        <v>452</v>
      </c>
      <c r="I5" s="30">
        <f>PROYECCION[[#This Row],[Area]]*PROYECCION[[#This Row],[Plantas por Ha]]</f>
        <v>4331.9831932773104</v>
      </c>
      <c r="J5" s="30">
        <v>214.86653074842971</v>
      </c>
      <c r="K5" s="26">
        <v>0.22</v>
      </c>
      <c r="L5" s="31">
        <f>PROYECCION[[#This Row],[Plantas por Ha]]*PROYECCION[[#This Row],[Frutos por Planta]]*PROYECCION[[#This Row],[Peso Promedio Fruto]]</f>
        <v>21366.327817623849</v>
      </c>
      <c r="M5" s="31">
        <f>PROYECCION[[#This Row],[Plantas por Lote]]*PROYECCION[[#This Row],[Frutos por Planta]]*PROYECCION[[#This Row],[Peso Promedio Fruto]]</f>
        <v>204775.60399999999</v>
      </c>
      <c r="N5" s="31">
        <f>PROYECCION[[#This Row],[Kg Bruto Lote]]*0.85</f>
        <v>174059.2634</v>
      </c>
      <c r="O5" s="31">
        <f>PROYECCION[[#This Row],[Kg Exportado Lote]]/PROYECCION[[#This Row],[Area]]</f>
        <v>18161.378644980272</v>
      </c>
      <c r="P5" s="31" t="s">
        <v>52</v>
      </c>
    </row>
    <row r="6" spans="1:16" x14ac:dyDescent="0.25">
      <c r="A6" s="26" t="s">
        <v>24</v>
      </c>
      <c r="B6" s="26" t="s">
        <v>2</v>
      </c>
      <c r="C6" s="26" t="s">
        <v>179</v>
      </c>
      <c r="D6" s="26" t="s">
        <v>0</v>
      </c>
      <c r="E6" s="27">
        <v>9.5567226890756309</v>
      </c>
      <c r="F6" s="28" t="s">
        <v>12</v>
      </c>
      <c r="G6" s="29">
        <v>43766</v>
      </c>
      <c r="H6" s="26">
        <v>452</v>
      </c>
      <c r="I6" s="30">
        <f>PROYECCION[[#This Row],[Area]]*PROYECCION[[#This Row],[Plantas por Ha]]</f>
        <v>4319.6386554621849</v>
      </c>
      <c r="J6" s="30">
        <v>106.48103619000187</v>
      </c>
      <c r="K6" s="26">
        <v>0.22</v>
      </c>
      <c r="L6" s="31">
        <f>PROYECCION[[#This Row],[Plantas por Ha]]*PROYECCION[[#This Row],[Frutos por Planta]]*PROYECCION[[#This Row],[Peso Promedio Fruto]]</f>
        <v>10588.474238733786</v>
      </c>
      <c r="M6" s="31">
        <f>PROYECCION[[#This Row],[Plantas por Lote]]*PROYECCION[[#This Row],[Frutos por Planta]]*PROYECCION[[#This Row],[Peso Promedio Fruto]]</f>
        <v>101191.11199999999</v>
      </c>
      <c r="N6" s="31">
        <f>PROYECCION[[#This Row],[Kg Bruto Lote]]*0.85</f>
        <v>86012.445199999987</v>
      </c>
      <c r="O6" s="31">
        <f>PROYECCION[[#This Row],[Kg Exportado Lote]]/PROYECCION[[#This Row],[Area]]</f>
        <v>9000.2031029237169</v>
      </c>
      <c r="P6" s="31" t="s">
        <v>52</v>
      </c>
    </row>
    <row r="7" spans="1:16" x14ac:dyDescent="0.25">
      <c r="A7" s="26" t="s">
        <v>25</v>
      </c>
      <c r="B7" s="26" t="s">
        <v>2</v>
      </c>
      <c r="C7" s="26" t="s">
        <v>179</v>
      </c>
      <c r="D7" s="26" t="s">
        <v>0</v>
      </c>
      <c r="E7" s="27">
        <v>10.590336134453782</v>
      </c>
      <c r="F7" s="28" t="s">
        <v>12</v>
      </c>
      <c r="G7" s="29">
        <v>43801</v>
      </c>
      <c r="H7" s="26">
        <v>452</v>
      </c>
      <c r="I7" s="30">
        <f>PROYECCION[[#This Row],[Area]]*PROYECCION[[#This Row],[Plantas por Ha]]</f>
        <v>4786.8319327731097</v>
      </c>
      <c r="J7" s="30">
        <v>199.73832660678016</v>
      </c>
      <c r="K7" s="26">
        <v>0.22</v>
      </c>
      <c r="L7" s="31">
        <f>PROYECCION[[#This Row],[Plantas por Ha]]*PROYECCION[[#This Row],[Frutos por Planta]]*PROYECCION[[#This Row],[Peso Promedio Fruto]]</f>
        <v>19861.979197778219</v>
      </c>
      <c r="M7" s="31">
        <f>PROYECCION[[#This Row],[Plantas por Lote]]*PROYECCION[[#This Row],[Frutos por Planta]]*PROYECCION[[#This Row],[Peso Promedio Fruto]]</f>
        <v>210345.03600000005</v>
      </c>
      <c r="N7" s="31">
        <f>PROYECCION[[#This Row],[Kg Bruto Lote]]*0.85</f>
        <v>178793.28060000003</v>
      </c>
      <c r="O7" s="31">
        <f>PROYECCION[[#This Row],[Kg Exportado Lote]]/PROYECCION[[#This Row],[Area]]</f>
        <v>16882.682318111489</v>
      </c>
      <c r="P7" s="31" t="s">
        <v>52</v>
      </c>
    </row>
    <row r="8" spans="1:16" x14ac:dyDescent="0.25">
      <c r="A8" s="26" t="s">
        <v>34</v>
      </c>
      <c r="B8" s="26" t="s">
        <v>2</v>
      </c>
      <c r="C8" s="26" t="s">
        <v>179</v>
      </c>
      <c r="D8" s="26" t="s">
        <v>0</v>
      </c>
      <c r="E8" s="27">
        <v>9.1638655462184868</v>
      </c>
      <c r="F8" s="28" t="s">
        <v>12</v>
      </c>
      <c r="G8" s="29">
        <v>43896</v>
      </c>
      <c r="H8" s="26">
        <v>452</v>
      </c>
      <c r="I8" s="30">
        <f>PROYECCION[[#This Row],[Area]]*PROYECCION[[#This Row],[Plantas por Ha]]</f>
        <v>4142.0672268907556</v>
      </c>
      <c r="J8" s="30">
        <v>96.702583048289171</v>
      </c>
      <c r="K8" s="26">
        <v>0.22</v>
      </c>
      <c r="L8" s="31">
        <f>PROYECCION[[#This Row],[Plantas por Ha]]*PROYECCION[[#This Row],[Frutos por Planta]]*PROYECCION[[#This Row],[Peso Promedio Fruto]]</f>
        <v>9616.1048583218744</v>
      </c>
      <c r="M8" s="31">
        <f>PROYECCION[[#This Row],[Plantas por Lote]]*PROYECCION[[#This Row],[Frutos por Planta]]*PROYECCION[[#This Row],[Peso Promedio Fruto]]</f>
        <v>88120.692000000025</v>
      </c>
      <c r="N8" s="31">
        <f>PROYECCION[[#This Row],[Kg Bruto Lote]]*0.85</f>
        <v>74902.588200000013</v>
      </c>
      <c r="O8" s="31">
        <f>PROYECCION[[#This Row],[Kg Exportado Lote]]/PROYECCION[[#This Row],[Area]]</f>
        <v>8173.6891295735923</v>
      </c>
      <c r="P8" s="31" t="s">
        <v>52</v>
      </c>
    </row>
    <row r="9" spans="1:16" x14ac:dyDescent="0.25">
      <c r="A9" s="26" t="s">
        <v>35</v>
      </c>
      <c r="B9" s="26" t="s">
        <v>2</v>
      </c>
      <c r="C9" s="26" t="s">
        <v>179</v>
      </c>
      <c r="D9" s="26" t="s">
        <v>0</v>
      </c>
      <c r="E9" s="27">
        <v>9.5714285714285712</v>
      </c>
      <c r="F9" s="28" t="s">
        <v>12</v>
      </c>
      <c r="G9" s="29">
        <v>43974</v>
      </c>
      <c r="H9" s="26">
        <v>452</v>
      </c>
      <c r="I9" s="30">
        <f>PROYECCION[[#This Row],[Area]]*PROYECCION[[#This Row],[Plantas por Ha]]</f>
        <v>4326.2857142857138</v>
      </c>
      <c r="J9" s="30">
        <v>56.536950204728576</v>
      </c>
      <c r="K9" s="26">
        <v>0.22</v>
      </c>
      <c r="L9" s="31">
        <f>PROYECCION[[#This Row],[Plantas por Ha]]*PROYECCION[[#This Row],[Frutos por Planta]]*PROYECCION[[#This Row],[Peso Promedio Fruto]]</f>
        <v>5622.0343283582097</v>
      </c>
      <c r="M9" s="31">
        <f>PROYECCION[[#This Row],[Plantas por Lote]]*PROYECCION[[#This Row],[Frutos por Planta]]*PROYECCION[[#This Row],[Peso Promedio Fruto]]</f>
        <v>53810.9</v>
      </c>
      <c r="N9" s="31">
        <f>PROYECCION[[#This Row],[Kg Bruto Lote]]*0.85</f>
        <v>45739.264999999999</v>
      </c>
      <c r="O9" s="31">
        <f>PROYECCION[[#This Row],[Kg Exportado Lote]]/PROYECCION[[#This Row],[Area]]</f>
        <v>4778.7291791044772</v>
      </c>
      <c r="P9" s="31" t="s">
        <v>52</v>
      </c>
    </row>
    <row r="10" spans="1:16" x14ac:dyDescent="0.25">
      <c r="A10" s="26" t="s">
        <v>36</v>
      </c>
      <c r="B10" s="26" t="s">
        <v>2</v>
      </c>
      <c r="C10" s="26" t="s">
        <v>179</v>
      </c>
      <c r="D10" s="26" t="s">
        <v>0</v>
      </c>
      <c r="E10" s="27">
        <v>10.243697478991596</v>
      </c>
      <c r="F10" s="28" t="s">
        <v>12</v>
      </c>
      <c r="G10" s="29">
        <v>44050</v>
      </c>
      <c r="H10" s="26">
        <v>452</v>
      </c>
      <c r="I10" s="30">
        <f>PROYECCION[[#This Row],[Area]]*PROYECCION[[#This Row],[Plantas por Ha]]</f>
        <v>4630.1512605042017</v>
      </c>
      <c r="J10" s="30">
        <v>20.698632638097383</v>
      </c>
      <c r="K10" s="26">
        <v>0.22</v>
      </c>
      <c r="L10" s="31">
        <f>PROYECCION[[#This Row],[Plantas por Ha]]*PROYECCION[[#This Row],[Frutos por Planta]]*PROYECCION[[#This Row],[Peso Promedio Fruto]]</f>
        <v>2058.2720295324038</v>
      </c>
      <c r="M10" s="31">
        <f>PROYECCION[[#This Row],[Plantas por Lote]]*PROYECCION[[#This Row],[Frutos por Planta]]*PROYECCION[[#This Row],[Peso Promedio Fruto]]</f>
        <v>21084.316000000003</v>
      </c>
      <c r="N10" s="31">
        <f>PROYECCION[[#This Row],[Kg Bruto Lote]]*0.85</f>
        <v>17921.668600000001</v>
      </c>
      <c r="O10" s="31">
        <f>PROYECCION[[#This Row],[Kg Exportado Lote]]/PROYECCION[[#This Row],[Area]]</f>
        <v>1749.5312251025432</v>
      </c>
      <c r="P10" s="31" t="s">
        <v>52</v>
      </c>
    </row>
    <row r="11" spans="1:16" x14ac:dyDescent="0.25">
      <c r="A11" s="26" t="s">
        <v>26</v>
      </c>
      <c r="B11" s="26" t="s">
        <v>2</v>
      </c>
      <c r="C11" s="26" t="s">
        <v>179</v>
      </c>
      <c r="D11" s="26" t="s">
        <v>0</v>
      </c>
      <c r="E11" s="27">
        <v>7.2731092436974789</v>
      </c>
      <c r="F11" s="28" t="s">
        <v>12</v>
      </c>
      <c r="G11" s="29">
        <v>43902</v>
      </c>
      <c r="H11" s="26">
        <v>452</v>
      </c>
      <c r="I11" s="30">
        <f>PROYECCION[[#This Row],[Area]]*PROYECCION[[#This Row],[Plantas por Ha]]</f>
        <v>3287.4453781512607</v>
      </c>
      <c r="J11" s="30">
        <v>342.27604433469838</v>
      </c>
      <c r="K11" s="26">
        <v>0.22</v>
      </c>
      <c r="L11" s="31">
        <f>PROYECCION[[#This Row],[Plantas por Ha]]*PROYECCION[[#This Row],[Frutos por Planta]]*PROYECCION[[#This Row],[Peso Promedio Fruto]]</f>
        <v>34035.929848642409</v>
      </c>
      <c r="M11" s="31">
        <f>PROYECCION[[#This Row],[Plantas por Lote]]*PROYECCION[[#This Row],[Frutos por Planta]]*PROYECCION[[#This Row],[Peso Promedio Fruto]]</f>
        <v>247547.03600000005</v>
      </c>
      <c r="N11" s="31">
        <f>PROYECCION[[#This Row],[Kg Bruto Lote]]*0.85</f>
        <v>210414.98060000004</v>
      </c>
      <c r="O11" s="31">
        <f>PROYECCION[[#This Row],[Kg Exportado Lote]]/PROYECCION[[#This Row],[Area]]</f>
        <v>28930.540371346047</v>
      </c>
      <c r="P11" s="31" t="s">
        <v>52</v>
      </c>
    </row>
    <row r="12" spans="1:16" x14ac:dyDescent="0.25">
      <c r="A12" s="26" t="s">
        <v>37</v>
      </c>
      <c r="B12" s="26" t="s">
        <v>2</v>
      </c>
      <c r="C12" s="26" t="s">
        <v>179</v>
      </c>
      <c r="D12" s="26" t="s">
        <v>0</v>
      </c>
      <c r="E12" s="27">
        <v>9.8487394957983199</v>
      </c>
      <c r="F12" s="28" t="s">
        <v>12</v>
      </c>
      <c r="G12" s="29">
        <v>44037</v>
      </c>
      <c r="H12" s="26">
        <v>452</v>
      </c>
      <c r="I12" s="30">
        <f>PROYECCION[[#This Row],[Area]]*PROYECCION[[#This Row],[Plantas por Ha]]</f>
        <v>4451.6302521008402</v>
      </c>
      <c r="J12" s="30">
        <v>91.142025959708846</v>
      </c>
      <c r="K12" s="26">
        <v>0.22</v>
      </c>
      <c r="L12" s="31">
        <f>PROYECCION[[#This Row],[Plantas por Ha]]*PROYECCION[[#This Row],[Frutos por Planta]]*PROYECCION[[#This Row],[Peso Promedio Fruto]]</f>
        <v>9063.1630614334481</v>
      </c>
      <c r="M12" s="31">
        <f>PROYECCION[[#This Row],[Plantas por Lote]]*PROYECCION[[#This Row],[Frutos por Planta]]*PROYECCION[[#This Row],[Peso Promedio Fruto]]</f>
        <v>89260.732000000004</v>
      </c>
      <c r="N12" s="31">
        <f>PROYECCION[[#This Row],[Kg Bruto Lote]]*0.85</f>
        <v>75871.622199999998</v>
      </c>
      <c r="O12" s="31">
        <f>PROYECCION[[#This Row],[Kg Exportado Lote]]/PROYECCION[[#This Row],[Area]]</f>
        <v>7703.688602218429</v>
      </c>
      <c r="P12" s="31" t="s">
        <v>52</v>
      </c>
    </row>
    <row r="13" spans="1:16" x14ac:dyDescent="0.25">
      <c r="A13" s="26" t="s">
        <v>38</v>
      </c>
      <c r="B13" s="26" t="s">
        <v>2</v>
      </c>
      <c r="C13" s="26" t="s">
        <v>179</v>
      </c>
      <c r="D13" s="26" t="s">
        <v>0</v>
      </c>
      <c r="E13" s="27">
        <v>9.8382352941176467</v>
      </c>
      <c r="F13" s="28" t="s">
        <v>12</v>
      </c>
      <c r="G13" s="29">
        <v>44069</v>
      </c>
      <c r="H13" s="26">
        <v>452</v>
      </c>
      <c r="I13" s="30">
        <f>PROYECCION[[#This Row],[Area]]*PROYECCION[[#This Row],[Plantas por Ha]]</f>
        <v>4446.8823529411766</v>
      </c>
      <c r="J13" s="30">
        <v>45.923859412410536</v>
      </c>
      <c r="K13" s="26">
        <v>0.22</v>
      </c>
      <c r="L13" s="31">
        <f>PROYECCION[[#This Row],[Plantas por Ha]]*PROYECCION[[#This Row],[Frutos por Planta]]*PROYECCION[[#This Row],[Peso Promedio Fruto]]</f>
        <v>4566.6685799701036</v>
      </c>
      <c r="M13" s="31">
        <f>PROYECCION[[#This Row],[Plantas por Lote]]*PROYECCION[[#This Row],[Frutos por Planta]]*PROYECCION[[#This Row],[Peso Promedio Fruto]]</f>
        <v>44927.959999999992</v>
      </c>
      <c r="N13" s="31">
        <f>PROYECCION[[#This Row],[Kg Bruto Lote]]*0.85</f>
        <v>38188.765999999989</v>
      </c>
      <c r="O13" s="31">
        <f>PROYECCION[[#This Row],[Kg Exportado Lote]]/PROYECCION[[#This Row],[Area]]</f>
        <v>3881.668292974588</v>
      </c>
      <c r="P13" s="31" t="s">
        <v>52</v>
      </c>
    </row>
    <row r="14" spans="1:16" x14ac:dyDescent="0.25">
      <c r="A14" s="26" t="s">
        <v>27</v>
      </c>
      <c r="B14" s="26" t="s">
        <v>2</v>
      </c>
      <c r="C14" s="26" t="s">
        <v>179</v>
      </c>
      <c r="D14" s="26" t="s">
        <v>0</v>
      </c>
      <c r="E14" s="27">
        <v>6.5525210084033612</v>
      </c>
      <c r="F14" s="28" t="s">
        <v>12</v>
      </c>
      <c r="G14" s="29">
        <v>43780</v>
      </c>
      <c r="H14" s="26">
        <v>452</v>
      </c>
      <c r="I14" s="30">
        <f>PROYECCION[[#This Row],[Area]]*PROYECCION[[#This Row],[Plantas por Ha]]</f>
        <v>2961.7394957983192</v>
      </c>
      <c r="J14" s="30">
        <v>220.99019881003386</v>
      </c>
      <c r="K14" s="26">
        <v>0.22</v>
      </c>
      <c r="L14" s="31">
        <f>PROYECCION[[#This Row],[Plantas por Ha]]*PROYECCION[[#This Row],[Frutos por Planta]]*PROYECCION[[#This Row],[Peso Promedio Fruto]]</f>
        <v>21975.265369669767</v>
      </c>
      <c r="M14" s="31">
        <f>PROYECCION[[#This Row],[Plantas por Lote]]*PROYECCION[[#This Row],[Frutos por Planta]]*PROYECCION[[#This Row],[Peso Promedio Fruto]]</f>
        <v>143993.38800000001</v>
      </c>
      <c r="N14" s="31">
        <f>PROYECCION[[#This Row],[Kg Bruto Lote]]*0.85</f>
        <v>122394.3798</v>
      </c>
      <c r="O14" s="31">
        <f>PROYECCION[[#This Row],[Kg Exportado Lote]]/PROYECCION[[#This Row],[Area]]</f>
        <v>18678.975564219301</v>
      </c>
      <c r="P14" s="31" t="s">
        <v>52</v>
      </c>
    </row>
    <row r="15" spans="1:16" x14ac:dyDescent="0.25">
      <c r="A15" s="26" t="s">
        <v>28</v>
      </c>
      <c r="B15" s="26" t="s">
        <v>2</v>
      </c>
      <c r="C15" s="26" t="s">
        <v>179</v>
      </c>
      <c r="D15" s="26" t="s">
        <v>0</v>
      </c>
      <c r="E15" s="27">
        <v>8.2373949579831933</v>
      </c>
      <c r="F15" s="28" t="s">
        <v>12</v>
      </c>
      <c r="G15" s="29">
        <v>43817</v>
      </c>
      <c r="H15" s="26">
        <v>452</v>
      </c>
      <c r="I15" s="30">
        <f>PROYECCION[[#This Row],[Area]]*PROYECCION[[#This Row],[Plantas por Ha]]</f>
        <v>3723.3025210084033</v>
      </c>
      <c r="J15" s="30">
        <v>203.59291132612458</v>
      </c>
      <c r="K15" s="26">
        <v>0.22</v>
      </c>
      <c r="L15" s="31">
        <f>PROYECCION[[#This Row],[Plantas por Ha]]*PROYECCION[[#This Row],[Frutos por Planta]]*PROYECCION[[#This Row],[Peso Promedio Fruto]]</f>
        <v>20245.279102269826</v>
      </c>
      <c r="M15" s="31">
        <f>PROYECCION[[#This Row],[Plantas por Lote]]*PROYECCION[[#This Row],[Frutos por Planta]]*PROYECCION[[#This Row],[Peso Promedio Fruto]]</f>
        <v>166768.36000000002</v>
      </c>
      <c r="N15" s="31">
        <f>PROYECCION[[#This Row],[Kg Bruto Lote]]*0.85</f>
        <v>141753.106</v>
      </c>
      <c r="O15" s="31">
        <f>PROYECCION[[#This Row],[Kg Exportado Lote]]/PROYECCION[[#This Row],[Area]]</f>
        <v>17208.487236929355</v>
      </c>
      <c r="P15" s="31" t="s">
        <v>52</v>
      </c>
    </row>
    <row r="16" spans="1:16" x14ac:dyDescent="0.25">
      <c r="A16" s="26" t="s">
        <v>29</v>
      </c>
      <c r="B16" s="26" t="s">
        <v>2</v>
      </c>
      <c r="C16" s="26" t="s">
        <v>179</v>
      </c>
      <c r="D16" s="26" t="s">
        <v>0</v>
      </c>
      <c r="E16" s="27">
        <v>8.7394957983193269</v>
      </c>
      <c r="F16" s="28" t="s">
        <v>12</v>
      </c>
      <c r="G16" s="29">
        <v>43821</v>
      </c>
      <c r="H16" s="26">
        <v>452</v>
      </c>
      <c r="I16" s="30">
        <f>PROYECCION[[#This Row],[Area]]*PROYECCION[[#This Row],[Plantas por Ha]]</f>
        <v>3950.252100840336</v>
      </c>
      <c r="J16" s="30">
        <v>208.36816967324714</v>
      </c>
      <c r="K16" s="26">
        <v>0.22</v>
      </c>
      <c r="L16" s="31">
        <f>PROYECCION[[#This Row],[Plantas por Ha]]*PROYECCION[[#This Row],[Frutos por Planta]]*PROYECCION[[#This Row],[Peso Promedio Fruto]]</f>
        <v>20720.130792307697</v>
      </c>
      <c r="M16" s="31">
        <f>PROYECCION[[#This Row],[Plantas por Lote]]*PROYECCION[[#This Row],[Frutos por Planta]]*PROYECCION[[#This Row],[Peso Promedio Fruto]]</f>
        <v>181083.49600000001</v>
      </c>
      <c r="N16" s="31">
        <f>PROYECCION[[#This Row],[Kg Bruto Lote]]*0.85</f>
        <v>153920.97160000002</v>
      </c>
      <c r="O16" s="31">
        <f>PROYECCION[[#This Row],[Kg Exportado Lote]]/PROYECCION[[#This Row],[Area]]</f>
        <v>17612.111173461541</v>
      </c>
      <c r="P16" s="31" t="s">
        <v>52</v>
      </c>
    </row>
    <row r="17" spans="1:18" x14ac:dyDescent="0.25">
      <c r="A17" s="26" t="s">
        <v>39</v>
      </c>
      <c r="B17" s="26" t="s">
        <v>2</v>
      </c>
      <c r="C17" s="26" t="s">
        <v>179</v>
      </c>
      <c r="D17" s="26" t="s">
        <v>0</v>
      </c>
      <c r="E17" s="27">
        <v>7.3508403361344534</v>
      </c>
      <c r="F17" s="28" t="s">
        <v>12</v>
      </c>
      <c r="G17" s="29">
        <v>44097</v>
      </c>
      <c r="H17" s="26">
        <v>452</v>
      </c>
      <c r="I17" s="30">
        <f>PROYECCION[[#This Row],[Area]]*PROYECCION[[#This Row],[Plantas por Ha]]</f>
        <v>3322.5798319327728</v>
      </c>
      <c r="J17" s="30">
        <v>137.9484687154611</v>
      </c>
      <c r="K17" s="26">
        <v>0.22</v>
      </c>
      <c r="L17" s="31">
        <f>PROYECCION[[#This Row],[Plantas por Ha]]*PROYECCION[[#This Row],[Frutos por Planta]]*PROYECCION[[#This Row],[Peso Promedio Fruto]]</f>
        <v>13717.595729065453</v>
      </c>
      <c r="M17" s="31">
        <f>PROYECCION[[#This Row],[Plantas por Lote]]*PROYECCION[[#This Row],[Frutos por Planta]]*PROYECCION[[#This Row],[Peso Promedio Fruto]]</f>
        <v>100835.85600000003</v>
      </c>
      <c r="N17" s="31">
        <f>PROYECCION[[#This Row],[Kg Bruto Lote]]*0.85</f>
        <v>85710.477600000027</v>
      </c>
      <c r="O17" s="31">
        <f>PROYECCION[[#This Row],[Kg Exportado Lote]]/PROYECCION[[#This Row],[Area]]</f>
        <v>11659.956369705635</v>
      </c>
      <c r="P17" s="31" t="s">
        <v>52</v>
      </c>
    </row>
    <row r="18" spans="1:18" x14ac:dyDescent="0.25">
      <c r="A18" s="26" t="s">
        <v>40</v>
      </c>
      <c r="B18" s="26" t="s">
        <v>2</v>
      </c>
      <c r="C18" s="26" t="s">
        <v>179</v>
      </c>
      <c r="D18" s="26" t="s">
        <v>0</v>
      </c>
      <c r="E18" s="27">
        <v>7.2100840336134455</v>
      </c>
      <c r="F18" s="28" t="s">
        <v>12</v>
      </c>
      <c r="G18" s="29">
        <v>44082</v>
      </c>
      <c r="H18" s="26">
        <v>452</v>
      </c>
      <c r="I18" s="30">
        <f>PROYECCION[[#This Row],[Area]]*PROYECCION[[#This Row],[Plantas por Ha]]</f>
        <v>3258.9579831932774</v>
      </c>
      <c r="J18" s="30">
        <v>124.45143573240918</v>
      </c>
      <c r="K18" s="26">
        <v>0.22</v>
      </c>
      <c r="L18" s="31">
        <f>PROYECCION[[#This Row],[Plantas por Ha]]*PROYECCION[[#This Row],[Frutos por Planta]]*PROYECCION[[#This Row],[Peso Promedio Fruto]]</f>
        <v>12375.450769230769</v>
      </c>
      <c r="M18" s="31">
        <f>PROYECCION[[#This Row],[Plantas por Lote]]*PROYECCION[[#This Row],[Frutos por Planta]]*PROYECCION[[#This Row],[Peso Promedio Fruto]]</f>
        <v>89228.04</v>
      </c>
      <c r="N18" s="31">
        <f>PROYECCION[[#This Row],[Kg Bruto Lote]]*0.85</f>
        <v>75843.833999999988</v>
      </c>
      <c r="O18" s="31">
        <f>PROYECCION[[#This Row],[Kg Exportado Lote]]/PROYECCION[[#This Row],[Area]]</f>
        <v>10519.133153846153</v>
      </c>
      <c r="P18" s="31" t="s">
        <v>52</v>
      </c>
    </row>
    <row r="19" spans="1:18" x14ac:dyDescent="0.25">
      <c r="A19" s="26" t="s">
        <v>41</v>
      </c>
      <c r="B19" s="26" t="s">
        <v>2</v>
      </c>
      <c r="C19" s="26" t="s">
        <v>179</v>
      </c>
      <c r="D19" s="26" t="s">
        <v>0</v>
      </c>
      <c r="E19" s="27">
        <v>11.697478991596638</v>
      </c>
      <c r="F19" s="28" t="s">
        <v>12</v>
      </c>
      <c r="G19" s="29">
        <v>44092</v>
      </c>
      <c r="H19" s="26">
        <v>452</v>
      </c>
      <c r="I19" s="30">
        <f>PROYECCION[[#This Row],[Area]]*PROYECCION[[#This Row],[Plantas por Ha]]</f>
        <v>5287.2605042016803</v>
      </c>
      <c r="J19" s="30">
        <v>102.53010979300173</v>
      </c>
      <c r="K19" s="26">
        <v>0.22</v>
      </c>
      <c r="L19" s="31">
        <f>PROYECCION[[#This Row],[Plantas por Ha]]*PROYECCION[[#This Row],[Frutos por Planta]]*PROYECCION[[#This Row],[Peso Promedio Fruto]]</f>
        <v>10195.594117816092</v>
      </c>
      <c r="M19" s="31">
        <f>PROYECCION[[#This Row],[Plantas por Lote]]*PROYECCION[[#This Row],[Frutos por Planta]]*PROYECCION[[#This Row],[Peso Promedio Fruto]]</f>
        <v>119262.74799999998</v>
      </c>
      <c r="N19" s="31">
        <f>PROYECCION[[#This Row],[Kg Bruto Lote]]*0.85</f>
        <v>101373.33579999997</v>
      </c>
      <c r="O19" s="31">
        <f>PROYECCION[[#This Row],[Kg Exportado Lote]]/PROYECCION[[#This Row],[Area]]</f>
        <v>8666.2550001436757</v>
      </c>
      <c r="P19" s="31" t="s">
        <v>52</v>
      </c>
      <c r="R19" s="10"/>
    </row>
    <row r="20" spans="1:18" x14ac:dyDescent="0.25">
      <c r="A20" s="26" t="s">
        <v>16</v>
      </c>
      <c r="B20" s="26" t="s">
        <v>2</v>
      </c>
      <c r="C20" s="26" t="s">
        <v>15</v>
      </c>
      <c r="D20" s="26" t="s">
        <v>0</v>
      </c>
      <c r="E20" s="27">
        <v>26.57</v>
      </c>
      <c r="F20" s="28" t="s">
        <v>12</v>
      </c>
      <c r="G20" s="29">
        <v>43508</v>
      </c>
      <c r="H20" s="26">
        <v>452</v>
      </c>
      <c r="I20" s="30">
        <f>PROYECCION[[#This Row],[Area]]*PROYECCION[[#This Row],[Plantas por Ha]]</f>
        <v>12009.64</v>
      </c>
      <c r="J20" s="30">
        <v>205.82025808433892</v>
      </c>
      <c r="K20" s="26">
        <v>0.22</v>
      </c>
      <c r="L20" s="31">
        <f>PROYECCION[[#This Row],[Plantas por Ha]]*PROYECCION[[#This Row],[Frutos por Planta]]*PROYECCION[[#This Row],[Peso Promedio Fruto]]</f>
        <v>20466.766463906661</v>
      </c>
      <c r="M20" s="31">
        <f>PROYECCION[[#This Row],[Plantas por Lote]]*PROYECCION[[#This Row],[Frutos por Planta]]*PROYECCION[[#This Row],[Peso Promedio Fruto]]</f>
        <v>543801.98494599992</v>
      </c>
      <c r="N20" s="31">
        <f>PROYECCION[[#This Row],[Kg Bruto Lote]]*0.85</f>
        <v>462231.6872040999</v>
      </c>
      <c r="O20" s="31">
        <f>PROYECCION[[#This Row],[Kg Exportado Lote]]/PROYECCION[[#This Row],[Area]]</f>
        <v>17396.751494320659</v>
      </c>
      <c r="P20" s="31" t="s">
        <v>52</v>
      </c>
    </row>
    <row r="21" spans="1:18" x14ac:dyDescent="0.25">
      <c r="A21" s="26" t="s">
        <v>17</v>
      </c>
      <c r="B21" s="26" t="s">
        <v>2</v>
      </c>
      <c r="C21" s="26" t="s">
        <v>15</v>
      </c>
      <c r="D21" s="26" t="s">
        <v>0</v>
      </c>
      <c r="E21" s="27">
        <v>26.08</v>
      </c>
      <c r="F21" s="28" t="s">
        <v>12</v>
      </c>
      <c r="G21" s="29">
        <v>43493</v>
      </c>
      <c r="H21" s="26">
        <v>452</v>
      </c>
      <c r="I21" s="30">
        <f>PROYECCION[[#This Row],[Area]]*PROYECCION[[#This Row],[Plantas por Ha]]</f>
        <v>11788.16</v>
      </c>
      <c r="J21" s="30">
        <v>218.55348349530379</v>
      </c>
      <c r="K21" s="26">
        <v>0.22</v>
      </c>
      <c r="L21" s="31">
        <f>PROYECCION[[#This Row],[Plantas por Ha]]*PROYECCION[[#This Row],[Frutos por Planta]]*PROYECCION[[#This Row],[Peso Promedio Fruto]]</f>
        <v>21732.958398773011</v>
      </c>
      <c r="M21" s="31">
        <f>PROYECCION[[#This Row],[Plantas por Lote]]*PROYECCION[[#This Row],[Frutos por Planta]]*PROYECCION[[#This Row],[Peso Promedio Fruto]]</f>
        <v>566795.55504000012</v>
      </c>
      <c r="N21" s="31">
        <f>PROYECCION[[#This Row],[Kg Bruto Lote]]*0.85</f>
        <v>481776.22178400011</v>
      </c>
      <c r="O21" s="31">
        <f>PROYECCION[[#This Row],[Kg Exportado Lote]]/PROYECCION[[#This Row],[Area]]</f>
        <v>18473.014638957062</v>
      </c>
      <c r="P21" s="31" t="s">
        <v>52</v>
      </c>
    </row>
    <row r="22" spans="1:18" x14ac:dyDescent="0.25">
      <c r="A22" s="26" t="s">
        <v>18</v>
      </c>
      <c r="B22" s="26" t="s">
        <v>2</v>
      </c>
      <c r="C22" s="26" t="s">
        <v>15</v>
      </c>
      <c r="D22" s="26" t="s">
        <v>0</v>
      </c>
      <c r="E22" s="27">
        <v>22.02</v>
      </c>
      <c r="F22" s="28" t="s">
        <v>12</v>
      </c>
      <c r="G22" s="29">
        <v>43526</v>
      </c>
      <c r="H22" s="26">
        <v>452</v>
      </c>
      <c r="I22" s="30">
        <f>PROYECCION[[#This Row],[Area]]*PROYECCION[[#This Row],[Plantas por Ha]]</f>
        <v>9953.0399999999991</v>
      </c>
      <c r="J22" s="30">
        <v>72.227103477932388</v>
      </c>
      <c r="K22" s="26">
        <v>0.22</v>
      </c>
      <c r="L22" s="31">
        <f>PROYECCION[[#This Row],[Plantas por Ha]]*PROYECCION[[#This Row],[Frutos por Planta]]*PROYECCION[[#This Row],[Peso Promedio Fruto]]</f>
        <v>7182.2631698455971</v>
      </c>
      <c r="M22" s="31">
        <f>PROYECCION[[#This Row],[Plantas por Lote]]*PROYECCION[[#This Row],[Frutos por Planta]]*PROYECCION[[#This Row],[Peso Promedio Fruto]]</f>
        <v>158153.43500000003</v>
      </c>
      <c r="N22" s="31">
        <f>PROYECCION[[#This Row],[Kg Bruto Lote]]*0.85</f>
        <v>134430.41975000003</v>
      </c>
      <c r="O22" s="31">
        <f>PROYECCION[[#This Row],[Kg Exportado Lote]]/PROYECCION[[#This Row],[Area]]</f>
        <v>6104.9236943687574</v>
      </c>
      <c r="P22" s="31" t="s">
        <v>52</v>
      </c>
    </row>
    <row r="23" spans="1:18" x14ac:dyDescent="0.25">
      <c r="A23" s="26" t="s">
        <v>19</v>
      </c>
      <c r="B23" s="26" t="s">
        <v>2</v>
      </c>
      <c r="C23" s="26" t="s">
        <v>15</v>
      </c>
      <c r="D23" s="26" t="s">
        <v>0</v>
      </c>
      <c r="E23" s="27">
        <v>10.72</v>
      </c>
      <c r="F23" s="28" t="s">
        <v>12</v>
      </c>
      <c r="G23" s="29">
        <v>43409</v>
      </c>
      <c r="H23" s="26">
        <v>452</v>
      </c>
      <c r="I23" s="30">
        <f>PROYECCION[[#This Row],[Area]]*PROYECCION[[#This Row],[Plantas por Ha]]</f>
        <v>4845.4400000000005</v>
      </c>
      <c r="J23" s="30">
        <v>210.34279652621845</v>
      </c>
      <c r="K23" s="26">
        <v>0.22</v>
      </c>
      <c r="L23" s="31">
        <f>PROYECCION[[#This Row],[Plantas por Ha]]*PROYECCION[[#This Row],[Frutos por Planta]]*PROYECCION[[#This Row],[Peso Promedio Fruto]]</f>
        <v>20916.487686567161</v>
      </c>
      <c r="M23" s="31">
        <f>PROYECCION[[#This Row],[Plantas por Lote]]*PROYECCION[[#This Row],[Frutos por Planta]]*PROYECCION[[#This Row],[Peso Promedio Fruto]]</f>
        <v>224224.74799999999</v>
      </c>
      <c r="N23" s="31">
        <f>PROYECCION[[#This Row],[Kg Bruto Lote]]*0.85</f>
        <v>190591.03579999998</v>
      </c>
      <c r="O23" s="31">
        <f>PROYECCION[[#This Row],[Kg Exportado Lote]]/PROYECCION[[#This Row],[Area]]</f>
        <v>17779.014533582085</v>
      </c>
      <c r="P23" s="31" t="s">
        <v>52</v>
      </c>
    </row>
    <row r="24" spans="1:18" x14ac:dyDescent="0.25">
      <c r="A24" s="26" t="s">
        <v>33</v>
      </c>
      <c r="B24" s="26" t="s">
        <v>2</v>
      </c>
      <c r="C24" s="26" t="s">
        <v>15</v>
      </c>
      <c r="D24" s="26" t="s">
        <v>0</v>
      </c>
      <c r="E24" s="27">
        <v>11.65</v>
      </c>
      <c r="F24" s="28" t="s">
        <v>12</v>
      </c>
      <c r="G24" s="29">
        <v>43577</v>
      </c>
      <c r="H24" s="26">
        <v>452</v>
      </c>
      <c r="I24" s="30">
        <f>PROYECCION[[#This Row],[Area]]*PROYECCION[[#This Row],[Plantas por Ha]]</f>
        <v>5265.8</v>
      </c>
      <c r="J24" s="30">
        <v>45.604498208565957</v>
      </c>
      <c r="K24" s="26">
        <v>0.22</v>
      </c>
      <c r="L24" s="31">
        <f>PROYECCION[[#This Row],[Plantas por Ha]]*PROYECCION[[#This Row],[Frutos por Planta]]*PROYECCION[[#This Row],[Peso Promedio Fruto]]</f>
        <v>4534.9113018597991</v>
      </c>
      <c r="M24" s="31">
        <f>PROYECCION[[#This Row],[Plantas por Lote]]*PROYECCION[[#This Row],[Frutos por Planta]]*PROYECCION[[#This Row],[Peso Promedio Fruto]]</f>
        <v>52831.71666666666</v>
      </c>
      <c r="N24" s="31">
        <f>PROYECCION[[#This Row],[Kg Bruto Lote]]*0.85</f>
        <v>44906.95916666666</v>
      </c>
      <c r="O24" s="31">
        <f>PROYECCION[[#This Row],[Kg Exportado Lote]]/PROYECCION[[#This Row],[Area]]</f>
        <v>3854.6746065808293</v>
      </c>
      <c r="P24" s="31" t="s">
        <v>52</v>
      </c>
    </row>
    <row r="25" spans="1:18" x14ac:dyDescent="0.25">
      <c r="A25" s="26" t="s">
        <v>13</v>
      </c>
      <c r="B25" s="26" t="s">
        <v>2</v>
      </c>
      <c r="C25" s="26" t="s">
        <v>15</v>
      </c>
      <c r="D25" s="26" t="s">
        <v>0</v>
      </c>
      <c r="E25" s="27">
        <v>13.41</v>
      </c>
      <c r="F25" s="28" t="s">
        <v>12</v>
      </c>
      <c r="G25" s="29">
        <v>43482</v>
      </c>
      <c r="H25" s="26">
        <v>452</v>
      </c>
      <c r="I25" s="30">
        <f>PROYECCION[[#This Row],[Area]]*PROYECCION[[#This Row],[Plantas por Ha]]</f>
        <v>6061.32</v>
      </c>
      <c r="J25" s="30">
        <v>298.34135138880646</v>
      </c>
      <c r="K25" s="26">
        <v>0.22</v>
      </c>
      <c r="L25" s="31">
        <f>PROYECCION[[#This Row],[Plantas por Ha]]*PROYECCION[[#This Row],[Frutos por Planta]]*PROYECCION[[#This Row],[Peso Promedio Fruto]]</f>
        <v>29667.063982102911</v>
      </c>
      <c r="M25" s="31">
        <f>PROYECCION[[#This Row],[Plantas por Lote]]*PROYECCION[[#This Row],[Frutos por Planta]]*PROYECCION[[#This Row],[Peso Promedio Fruto]]</f>
        <v>397835.3280000001</v>
      </c>
      <c r="N25" s="31">
        <f>PROYECCION[[#This Row],[Kg Bruto Lote]]*0.85</f>
        <v>338160.02880000009</v>
      </c>
      <c r="O25" s="31">
        <f>PROYECCION[[#This Row],[Kg Exportado Lote]]/PROYECCION[[#This Row],[Area]]</f>
        <v>25217.004384787477</v>
      </c>
      <c r="P25" s="31" t="s">
        <v>52</v>
      </c>
    </row>
    <row r="26" spans="1:18" s="25" customFormat="1" ht="15.75" customHeight="1" x14ac:dyDescent="0.25">
      <c r="A26" s="26" t="s">
        <v>42</v>
      </c>
      <c r="B26" s="26" t="s">
        <v>2</v>
      </c>
      <c r="C26" s="26" t="s">
        <v>51</v>
      </c>
      <c r="D26" s="26" t="s">
        <v>0</v>
      </c>
      <c r="E26" s="27">
        <v>17.182773109243698</v>
      </c>
      <c r="F26" s="28" t="s">
        <v>12</v>
      </c>
      <c r="G26" s="29">
        <v>44151</v>
      </c>
      <c r="H26" s="26">
        <v>452</v>
      </c>
      <c r="I26" s="30">
        <f>PROYECCION[[#This Row],[Area]]*PROYECCION[[#This Row],[Plantas por Ha]]</f>
        <v>7766.6134453781515</v>
      </c>
      <c r="J26" s="30">
        <v>150.73607154952191</v>
      </c>
      <c r="K26" s="26">
        <v>0.22</v>
      </c>
      <c r="L26" s="31">
        <f>PROYECCION[[#This Row],[Plantas por Ha]]*PROYECCION[[#This Row],[Frutos por Planta]]*PROYECCION[[#This Row],[Peso Promedio Fruto]]</f>
        <v>14989.194954884459</v>
      </c>
      <c r="M26" s="31">
        <f>PROYECCION[[#This Row],[Plantas por Lote]]*PROYECCION[[#This Row],[Frutos por Planta]]*PROYECCION[[#This Row],[Peso Promedio Fruto]]</f>
        <v>257555.93599999996</v>
      </c>
      <c r="N26" s="31">
        <f>PROYECCION[[#This Row],[Kg Bruto Lote]]*0.85</f>
        <v>218922.54559999995</v>
      </c>
      <c r="O26" s="31">
        <f>PROYECCION[[#This Row],[Kg Exportado Lote]]/PROYECCION[[#This Row],[Area]]</f>
        <v>12740.815711651789</v>
      </c>
      <c r="P26" s="31" t="s">
        <v>52</v>
      </c>
    </row>
    <row r="27" spans="1:18" s="25" customFormat="1" x14ac:dyDescent="0.25">
      <c r="A27" s="26" t="s">
        <v>43</v>
      </c>
      <c r="B27" s="26" t="s">
        <v>2</v>
      </c>
      <c r="C27" s="26" t="s">
        <v>51</v>
      </c>
      <c r="D27" s="26" t="s">
        <v>0</v>
      </c>
      <c r="E27" s="27">
        <v>11.504201680672269</v>
      </c>
      <c r="F27" s="28" t="s">
        <v>12</v>
      </c>
      <c r="G27" s="29">
        <v>44050</v>
      </c>
      <c r="H27" s="26">
        <v>452</v>
      </c>
      <c r="I27" s="30">
        <f>PROYECCION[[#This Row],[Area]]*PROYECCION[[#This Row],[Plantas por Ha]]</f>
        <v>5199.8991596638652</v>
      </c>
      <c r="J27" s="30">
        <v>315.18865071720847</v>
      </c>
      <c r="K27" s="26">
        <v>0.22</v>
      </c>
      <c r="L27" s="31">
        <f>PROYECCION[[#This Row],[Plantas por Ha]]*PROYECCION[[#This Row],[Frutos por Planta]]*PROYECCION[[#This Row],[Peso Promedio Fruto]]</f>
        <v>31342.35942731921</v>
      </c>
      <c r="M27" s="31">
        <f>PROYECCION[[#This Row],[Plantas por Lote]]*PROYECCION[[#This Row],[Frutos por Planta]]*PROYECCION[[#This Row],[Peso Promedio Fruto]]</f>
        <v>360568.82399999996</v>
      </c>
      <c r="N27" s="31">
        <f>PROYECCION[[#This Row],[Kg Bruto Lote]]*0.85</f>
        <v>306483.50039999996</v>
      </c>
      <c r="O27" s="31">
        <f>PROYECCION[[#This Row],[Kg Exportado Lote]]/PROYECCION[[#This Row],[Area]]</f>
        <v>26641.005513221327</v>
      </c>
      <c r="P27" s="31" t="s">
        <v>52</v>
      </c>
    </row>
    <row r="28" spans="1:18" s="25" customFormat="1" x14ac:dyDescent="0.25">
      <c r="A28" s="26" t="s">
        <v>44</v>
      </c>
      <c r="B28" s="26" t="s">
        <v>2</v>
      </c>
      <c r="C28" s="26" t="s">
        <v>51</v>
      </c>
      <c r="D28" s="26" t="s">
        <v>0</v>
      </c>
      <c r="E28" s="27">
        <v>11.623949579831933</v>
      </c>
      <c r="F28" s="28" t="s">
        <v>12</v>
      </c>
      <c r="G28" s="29">
        <v>44083</v>
      </c>
      <c r="H28" s="26">
        <v>452</v>
      </c>
      <c r="I28" s="30">
        <f>PROYECCION[[#This Row],[Area]]*PROYECCION[[#This Row],[Plantas por Ha]]</f>
        <v>5254.0252100840335</v>
      </c>
      <c r="J28" s="30">
        <v>215.55446628355369</v>
      </c>
      <c r="K28" s="26">
        <v>0.22</v>
      </c>
      <c r="L28" s="31">
        <f>PROYECCION[[#This Row],[Plantas por Ha]]*PROYECCION[[#This Row],[Frutos por Planta]]*PROYECCION[[#This Row],[Peso Promedio Fruto]]</f>
        <v>21434.736127236578</v>
      </c>
      <c r="M28" s="31">
        <f>PROYECCION[[#This Row],[Plantas por Lote]]*PROYECCION[[#This Row],[Frutos por Planta]]*PROYECCION[[#This Row],[Peso Promedio Fruto]]</f>
        <v>249156.29199999996</v>
      </c>
      <c r="N28" s="31">
        <f>PROYECCION[[#This Row],[Kg Bruto Lote]]*0.85</f>
        <v>211782.84819999995</v>
      </c>
      <c r="O28" s="31">
        <f>PROYECCION[[#This Row],[Kg Exportado Lote]]/PROYECCION[[#This Row],[Area]]</f>
        <v>18219.52570815109</v>
      </c>
      <c r="P28" s="31" t="s">
        <v>52</v>
      </c>
    </row>
    <row r="29" spans="1:18" s="25" customFormat="1" x14ac:dyDescent="0.25">
      <c r="A29" s="26" t="s">
        <v>45</v>
      </c>
      <c r="B29" s="26" t="s">
        <v>2</v>
      </c>
      <c r="C29" s="26" t="s">
        <v>51</v>
      </c>
      <c r="D29" s="26" t="s">
        <v>0</v>
      </c>
      <c r="E29" s="27">
        <v>11.756302521008404</v>
      </c>
      <c r="F29" s="28" t="s">
        <v>12</v>
      </c>
      <c r="G29" s="29">
        <v>44116</v>
      </c>
      <c r="H29" s="26">
        <v>452</v>
      </c>
      <c r="I29" s="30">
        <f>PROYECCION[[#This Row],[Area]]*PROYECCION[[#This Row],[Plantas por Ha]]</f>
        <v>5313.8487394957983</v>
      </c>
      <c r="J29" s="30">
        <v>191.96022506594468</v>
      </c>
      <c r="K29" s="26">
        <v>0.22</v>
      </c>
      <c r="L29" s="31">
        <f>PROYECCION[[#This Row],[Plantas por Ha]]*PROYECCION[[#This Row],[Frutos por Planta]]*PROYECCION[[#This Row],[Peso Promedio Fruto]]</f>
        <v>19088.524780557538</v>
      </c>
      <c r="M29" s="31">
        <f>PROYECCION[[#This Row],[Plantas por Lote]]*PROYECCION[[#This Row],[Frutos por Planta]]*PROYECCION[[#This Row],[Peso Promedio Fruto]]</f>
        <v>224410.47199999998</v>
      </c>
      <c r="N29" s="31">
        <f>PROYECCION[[#This Row],[Kg Bruto Lote]]*0.85</f>
        <v>190748.90119999996</v>
      </c>
      <c r="O29" s="31">
        <f>PROYECCION[[#This Row],[Kg Exportado Lote]]/PROYECCION[[#This Row],[Area]]</f>
        <v>16225.246063473905</v>
      </c>
      <c r="P29" s="31" t="s">
        <v>52</v>
      </c>
    </row>
    <row r="30" spans="1:18" s="25" customFormat="1" x14ac:dyDescent="0.25">
      <c r="A30" s="26" t="s">
        <v>46</v>
      </c>
      <c r="B30" s="26" t="s">
        <v>2</v>
      </c>
      <c r="C30" s="26" t="s">
        <v>51</v>
      </c>
      <c r="D30" s="26" t="s">
        <v>0</v>
      </c>
      <c r="E30" s="27">
        <v>10.911764705882353</v>
      </c>
      <c r="F30" s="28" t="s">
        <v>12</v>
      </c>
      <c r="G30" s="29">
        <v>44126</v>
      </c>
      <c r="H30" s="26">
        <v>452</v>
      </c>
      <c r="I30" s="30">
        <f>PROYECCION[[#This Row],[Area]]*PROYECCION[[#This Row],[Plantas por Ha]]</f>
        <v>4932.1176470588234</v>
      </c>
      <c r="J30" s="30">
        <v>217.07819573980871</v>
      </c>
      <c r="K30" s="26">
        <v>0.22</v>
      </c>
      <c r="L30" s="31">
        <f>PROYECCION[[#This Row],[Plantas por Ha]]*PROYECCION[[#This Row],[Frutos por Planta]]*PROYECCION[[#This Row],[Peso Promedio Fruto]]</f>
        <v>21586.255784366578</v>
      </c>
      <c r="M30" s="31">
        <f>PROYECCION[[#This Row],[Plantas por Lote]]*PROYECCION[[#This Row],[Frutos por Planta]]*PROYECCION[[#This Row],[Peso Promedio Fruto]]</f>
        <v>235544.144</v>
      </c>
      <c r="N30" s="31">
        <f>PROYECCION[[#This Row],[Kg Bruto Lote]]*0.85</f>
        <v>200212.52239999999</v>
      </c>
      <c r="O30" s="31">
        <f>PROYECCION[[#This Row],[Kg Exportado Lote]]/PROYECCION[[#This Row],[Area]]</f>
        <v>18348.31741671159</v>
      </c>
      <c r="P30" s="31" t="s">
        <v>52</v>
      </c>
    </row>
    <row r="31" spans="1:18" s="25" customFormat="1" x14ac:dyDescent="0.25">
      <c r="A31" s="26" t="s">
        <v>47</v>
      </c>
      <c r="B31" s="26" t="s">
        <v>2</v>
      </c>
      <c r="C31" s="26" t="s">
        <v>51</v>
      </c>
      <c r="D31" s="26" t="s">
        <v>0</v>
      </c>
      <c r="E31" s="27">
        <v>9.7542016806722689</v>
      </c>
      <c r="F31" s="28" t="s">
        <v>12</v>
      </c>
      <c r="G31" s="29">
        <v>44139</v>
      </c>
      <c r="H31" s="26">
        <v>452</v>
      </c>
      <c r="I31" s="30">
        <f>PROYECCION[[#This Row],[Area]]*PROYECCION[[#This Row],[Plantas por Ha]]</f>
        <v>4408.8991596638652</v>
      </c>
      <c r="J31" s="30">
        <v>73.438377307927624</v>
      </c>
      <c r="K31" s="26">
        <v>0.22</v>
      </c>
      <c r="L31" s="31">
        <f>PROYECCION[[#This Row],[Plantas por Ha]]*PROYECCION[[#This Row],[Frutos por Planta]]*PROYECCION[[#This Row],[Peso Promedio Fruto]]</f>
        <v>7302.7122395003225</v>
      </c>
      <c r="M31" s="31">
        <f>PROYECCION[[#This Row],[Plantas por Lote]]*PROYECCION[[#This Row],[Frutos por Planta]]*PROYECCION[[#This Row],[Peso Promedio Fruto]]</f>
        <v>71232.127999999997</v>
      </c>
      <c r="N31" s="31">
        <f>PROYECCION[[#This Row],[Kg Bruto Lote]]*0.85</f>
        <v>60547.308799999999</v>
      </c>
      <c r="O31" s="31">
        <f>PROYECCION[[#This Row],[Kg Exportado Lote]]/PROYECCION[[#This Row],[Area]]</f>
        <v>6207.3054035752748</v>
      </c>
      <c r="P31" s="31" t="s">
        <v>52</v>
      </c>
    </row>
    <row r="32" spans="1:18" s="25" customFormat="1" x14ac:dyDescent="0.25">
      <c r="A32" s="26" t="s">
        <v>48</v>
      </c>
      <c r="B32" s="26" t="s">
        <v>2</v>
      </c>
      <c r="C32" s="26" t="s">
        <v>51</v>
      </c>
      <c r="D32" s="26" t="s">
        <v>0</v>
      </c>
      <c r="E32" s="27">
        <v>11.960084033613445</v>
      </c>
      <c r="F32" s="28" t="s">
        <v>12</v>
      </c>
      <c r="G32" s="29">
        <v>44270</v>
      </c>
      <c r="H32" s="26">
        <v>452</v>
      </c>
      <c r="I32" s="30">
        <f>PROYECCION[[#This Row],[Area]]*PROYECCION[[#This Row],[Plantas por Ha]]</f>
        <v>5405.957983193277</v>
      </c>
      <c r="J32" s="30">
        <v>9.1084160178079276</v>
      </c>
      <c r="K32" s="26">
        <v>0.22</v>
      </c>
      <c r="L32" s="31">
        <f>PROYECCION[[#This Row],[Plantas por Ha]]*PROYECCION[[#This Row],[Frutos por Planta]]*PROYECCION[[#This Row],[Peso Promedio Fruto]]</f>
        <v>905.74088881082037</v>
      </c>
      <c r="M32" s="31">
        <f>PROYECCION[[#This Row],[Plantas por Lote]]*PROYECCION[[#This Row],[Frutos por Planta]]*PROYECCION[[#This Row],[Peso Promedio Fruto]]</f>
        <v>10832.737142857142</v>
      </c>
      <c r="N32" s="31">
        <f>PROYECCION[[#This Row],[Kg Bruto Lote]]*0.85</f>
        <v>9207.8265714285699</v>
      </c>
      <c r="O32" s="31">
        <f>PROYECCION[[#This Row],[Kg Exportado Lote]]/PROYECCION[[#This Row],[Area]]</f>
        <v>769.87975548919712</v>
      </c>
      <c r="P32" s="31" t="s">
        <v>52</v>
      </c>
    </row>
    <row r="33" spans="1:16" s="25" customFormat="1" x14ac:dyDescent="0.25">
      <c r="A33" s="26" t="s">
        <v>49</v>
      </c>
      <c r="B33" s="26" t="s">
        <v>2</v>
      </c>
      <c r="C33" s="26" t="s">
        <v>51</v>
      </c>
      <c r="D33" s="26" t="s">
        <v>0</v>
      </c>
      <c r="E33" s="27">
        <v>12.197478991596638</v>
      </c>
      <c r="F33" s="28" t="s">
        <v>12</v>
      </c>
      <c r="G33" s="29">
        <v>44299</v>
      </c>
      <c r="H33" s="26">
        <v>452</v>
      </c>
      <c r="I33" s="30">
        <f>PROYECCION[[#This Row],[Area]]*PROYECCION[[#This Row],[Plantas por Ha]]</f>
        <v>5513.2605042016803</v>
      </c>
      <c r="J33" s="30">
        <v>19.477999567124638</v>
      </c>
      <c r="K33" s="26">
        <v>0.22</v>
      </c>
      <c r="L33" s="31">
        <f>PROYECCION[[#This Row],[Plantas por Ha]]*PROYECCION[[#This Row],[Frutos por Planta]]*PROYECCION[[#This Row],[Peso Promedio Fruto]]</f>
        <v>1936.892276954874</v>
      </c>
      <c r="M33" s="31">
        <f>PROYECCION[[#This Row],[Plantas por Lote]]*PROYECCION[[#This Row],[Frutos por Planta]]*PROYECCION[[#This Row],[Peso Promedio Fruto]]</f>
        <v>23625.202857142853</v>
      </c>
      <c r="N33" s="31">
        <f>PROYECCION[[#This Row],[Kg Bruto Lote]]*0.85</f>
        <v>20081.422428571423</v>
      </c>
      <c r="O33" s="31">
        <f>PROYECCION[[#This Row],[Kg Exportado Lote]]/PROYECCION[[#This Row],[Area]]</f>
        <v>1646.3584354116426</v>
      </c>
      <c r="P33" s="31" t="s">
        <v>52</v>
      </c>
    </row>
    <row r="34" spans="1:16" s="25" customFormat="1" x14ac:dyDescent="0.25">
      <c r="A34" s="26" t="s">
        <v>50</v>
      </c>
      <c r="B34" s="26" t="s">
        <v>2</v>
      </c>
      <c r="C34" s="26" t="s">
        <v>51</v>
      </c>
      <c r="D34" s="26" t="s">
        <v>0</v>
      </c>
      <c r="E34" s="27">
        <v>9.7584033613445378</v>
      </c>
      <c r="F34" s="28" t="s">
        <v>12</v>
      </c>
      <c r="G34" s="29">
        <v>44319</v>
      </c>
      <c r="H34" s="26">
        <v>452</v>
      </c>
      <c r="I34" s="30">
        <f>PROYECCION[[#This Row],[Area]]*PROYECCION[[#This Row],[Plantas por Ha]]</f>
        <v>4410.7983193277314</v>
      </c>
      <c r="J34" s="30">
        <v>7.1660497061261035</v>
      </c>
      <c r="K34" s="26">
        <v>0.22</v>
      </c>
      <c r="L34" s="31">
        <f>PROYECCION[[#This Row],[Plantas por Ha]]*PROYECCION[[#This Row],[Frutos por Planta]]*PROYECCION[[#This Row],[Peso Promedio Fruto]]</f>
        <v>712.59198277717974</v>
      </c>
      <c r="M34" s="31">
        <f>PROYECCION[[#This Row],[Plantas por Lote]]*PROYECCION[[#This Row],[Frutos por Planta]]*PROYECCION[[#This Row],[Peso Promedio Fruto]]</f>
        <v>6953.76</v>
      </c>
      <c r="N34" s="31">
        <f>PROYECCION[[#This Row],[Kg Bruto Lote]]*0.85</f>
        <v>5910.6959999999999</v>
      </c>
      <c r="O34" s="31">
        <f>PROYECCION[[#This Row],[Kg Exportado Lote]]/PROYECCION[[#This Row],[Area]]</f>
        <v>605.70318536060279</v>
      </c>
      <c r="P34" s="31" t="s">
        <v>52</v>
      </c>
    </row>
    <row r="35" spans="1:16" x14ac:dyDescent="0.25">
      <c r="L35" s="24">
        <f>SUBTOTAL(9,L2:L34)</f>
        <v>514863.68121436459</v>
      </c>
      <c r="M35" s="24">
        <f t="shared" ref="M35:O35" si="0">SUBTOTAL(9,M2:M34)</f>
        <v>5935080.6356526678</v>
      </c>
      <c r="N35" s="24">
        <f t="shared" si="0"/>
        <v>5044818.540304767</v>
      </c>
      <c r="O35" s="24">
        <f t="shared" si="0"/>
        <v>437634.12903220986</v>
      </c>
    </row>
  </sheetData>
  <phoneticPr fontId="10" type="noConversion"/>
  <pageMargins left="0.7" right="0.7" top="0.75" bottom="0.75" header="0.3" footer="0.3"/>
  <pageSetup paperSize="9" scale="41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Reporte</vt:lpstr>
      <vt:lpstr>Proyección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Carlos Hernandez</dc:creator>
  <cp:lastModifiedBy>David Yactayo Castañeda</cp:lastModifiedBy>
  <cp:lastPrinted>2023-06-23T13:14:22Z</cp:lastPrinted>
  <dcterms:created xsi:type="dcterms:W3CDTF">2021-04-05T17:28:53Z</dcterms:created>
  <dcterms:modified xsi:type="dcterms:W3CDTF">2024-04-15T03:41:26Z</dcterms:modified>
</cp:coreProperties>
</file>