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/>
  </bookViews>
  <sheets>
    <sheet name="VENTAS 2021" sheetId="8" r:id="rId1"/>
    <sheet name="M3 - USD 2021" sheetId="9" r:id="rId2"/>
    <sheet name="VENTAS 2020" sheetId="3" r:id="rId3"/>
    <sheet name="M3 - USD 2020" sheetId="5" r:id="rId4"/>
    <sheet name="VENTAS 2019" sheetId="7" r:id="rId5"/>
    <sheet name="M3 - USD 2019" sheetId="6" r:id="rId6"/>
    <sheet name="VENTAS 2018" sheetId="10" r:id="rId7"/>
  </sheets>
  <externalReferences>
    <externalReference r:id="rId8"/>
  </externalReferences>
  <definedNames>
    <definedName name="_xlnm._FilterDatabase" localSheetId="5" hidden="1">'M3 - USD 2019'!$C$4:$Q$100</definedName>
    <definedName name="_xlnm._FilterDatabase" localSheetId="3" hidden="1">'M3 - USD 2020'!$C$4:$P$98</definedName>
    <definedName name="_xlnm._FilterDatabase" localSheetId="1" hidden="1">'M3 - USD 2021'!$C$4:$Q$65</definedName>
    <definedName name="_xlnm._FilterDatabase" localSheetId="6" hidden="1">'VENTAS 2018'!$E$4:$AE$98</definedName>
    <definedName name="_xlnm._FilterDatabase" localSheetId="4" hidden="1">'VENTAS 2019'!$E$4:$AE$98</definedName>
    <definedName name="_xlnm._FilterDatabase" localSheetId="2" hidden="1">'VENTAS 2020'!$D$8:$AF$96</definedName>
    <definedName name="_xlnm._FilterDatabase" localSheetId="0" hidden="1">'VENTAS 2021'!$F$8:$AG$70</definedName>
    <definedName name="a">'[1]Cronograma banco'!$M$4</definedName>
    <definedName name="gastos">'[1]Cronograma banco'!$B$23</definedName>
    <definedName name="imax">'[1]Cronograma banco'!$M$5</definedName>
    <definedName name="iva_int">'[1]Cronograma banco'!$B$27</definedName>
    <definedName name="M">'[1]Cronograma banco'!$B$16</definedName>
    <definedName name="n">'[1]Cronograma banco'!$B$17</definedName>
    <definedName name="seg_incend">'[1]Cronograma banco'!$B$26</definedName>
    <definedName name="seg_vida">'[1]Cronograma banco'!$B$25</definedName>
  </definedNames>
  <calcPr calcId="152511"/>
</workbook>
</file>

<file path=xl/calcChain.xml><?xml version="1.0" encoding="utf-8"?>
<calcChain xmlns="http://schemas.openxmlformats.org/spreadsheetml/2006/main">
  <c r="N40" i="9" l="1"/>
  <c r="C40" i="9"/>
  <c r="D40" i="9"/>
  <c r="E40" i="9"/>
  <c r="F40" i="9"/>
  <c r="G40" i="9"/>
  <c r="K40" i="9"/>
  <c r="H40" i="9" s="1"/>
  <c r="I40" i="9" s="1"/>
  <c r="L40" i="9"/>
  <c r="Y44" i="8"/>
  <c r="M82" i="8" l="1"/>
  <c r="L71" i="8" l="1"/>
  <c r="L70" i="8"/>
  <c r="S70" i="8"/>
  <c r="S71" i="8"/>
  <c r="Y70" i="8"/>
  <c r="AF70" i="8" s="1"/>
  <c r="R70" i="8"/>
  <c r="O70" i="8"/>
  <c r="O71" i="8"/>
  <c r="P71" i="8"/>
  <c r="R71" i="8"/>
  <c r="AF44" i="8" l="1"/>
  <c r="S44" i="8"/>
  <c r="P44" i="8"/>
  <c r="S43" i="8" l="1"/>
  <c r="C39" i="9" l="1"/>
  <c r="D39" i="9"/>
  <c r="E39" i="9"/>
  <c r="F39" i="9"/>
  <c r="G39" i="9"/>
  <c r="K39" i="9"/>
  <c r="H39" i="9" s="1"/>
  <c r="Q43" i="8"/>
  <c r="Y43" i="8" s="1"/>
  <c r="P43" i="8"/>
  <c r="L39" i="9" s="1"/>
  <c r="I39" i="9" l="1"/>
  <c r="C37" i="9"/>
  <c r="D37" i="9"/>
  <c r="E37" i="9"/>
  <c r="F37" i="9"/>
  <c r="G37" i="9"/>
  <c r="C38" i="9"/>
  <c r="D38" i="9"/>
  <c r="E38" i="9"/>
  <c r="F38" i="9"/>
  <c r="G38" i="9"/>
  <c r="M71" i="8"/>
  <c r="N71" i="8"/>
  <c r="O42" i="8"/>
  <c r="Q42" i="8" s="1"/>
  <c r="Y42" i="8" s="1"/>
  <c r="AF42" i="8" s="1"/>
  <c r="P42" i="8"/>
  <c r="L38" i="9" s="1"/>
  <c r="O41" i="8"/>
  <c r="S41" i="8" s="1"/>
  <c r="P41" i="8" l="1"/>
  <c r="L37" i="9" s="1"/>
  <c r="K37" i="9"/>
  <c r="H37" i="9" s="1"/>
  <c r="I37" i="9" s="1"/>
  <c r="Q41" i="8"/>
  <c r="Y41" i="8" s="1"/>
  <c r="K38" i="9"/>
  <c r="H38" i="9" s="1"/>
  <c r="I38" i="9" s="1"/>
  <c r="S42" i="8"/>
  <c r="AF41" i="8"/>
  <c r="Y40" i="8"/>
  <c r="O28" i="8" l="1"/>
  <c r="Q28" i="8" s="1"/>
  <c r="O29" i="8"/>
  <c r="Q29" i="8" s="1"/>
  <c r="O31" i="8"/>
  <c r="Q31" i="8" s="1"/>
  <c r="O32" i="8"/>
  <c r="Q32" i="8" s="1"/>
  <c r="O33" i="8"/>
  <c r="Q33" i="8" s="1"/>
  <c r="O34" i="8"/>
  <c r="Q34" i="8" s="1"/>
  <c r="O30" i="8"/>
  <c r="Q30" i="8" s="1"/>
  <c r="O39" i="8" l="1"/>
  <c r="Q39" i="8" s="1"/>
  <c r="S34" i="8" l="1"/>
  <c r="Y34" i="8"/>
  <c r="AF34" i="8" s="1"/>
  <c r="C36" i="9" l="1"/>
  <c r="D36" i="9"/>
  <c r="E36" i="9"/>
  <c r="F36" i="9"/>
  <c r="G36" i="9"/>
  <c r="K36" i="9"/>
  <c r="C24" i="9"/>
  <c r="D24" i="9"/>
  <c r="E24" i="9"/>
  <c r="F24" i="9"/>
  <c r="G24" i="9"/>
  <c r="C25" i="9"/>
  <c r="D25" i="9"/>
  <c r="E25" i="9"/>
  <c r="F25" i="9"/>
  <c r="G25" i="9"/>
  <c r="K25" i="9"/>
  <c r="H25" i="9" s="1"/>
  <c r="C26" i="9"/>
  <c r="D26" i="9"/>
  <c r="E26" i="9"/>
  <c r="F26" i="9"/>
  <c r="G26" i="9"/>
  <c r="K26" i="9"/>
  <c r="H26" i="9" s="1"/>
  <c r="C27" i="9"/>
  <c r="D27" i="9"/>
  <c r="E27" i="9"/>
  <c r="F27" i="9"/>
  <c r="G27" i="9"/>
  <c r="K27" i="9"/>
  <c r="H27" i="9" s="1"/>
  <c r="C28" i="9"/>
  <c r="D28" i="9"/>
  <c r="E28" i="9"/>
  <c r="F28" i="9"/>
  <c r="G28" i="9"/>
  <c r="K28" i="9"/>
  <c r="H28" i="9" s="1"/>
  <c r="C29" i="9"/>
  <c r="D29" i="9"/>
  <c r="E29" i="9"/>
  <c r="F29" i="9"/>
  <c r="G29" i="9"/>
  <c r="K29" i="9"/>
  <c r="H29" i="9" s="1"/>
  <c r="C30" i="9"/>
  <c r="D30" i="9"/>
  <c r="E30" i="9"/>
  <c r="F30" i="9"/>
  <c r="G30" i="9"/>
  <c r="K30" i="9"/>
  <c r="H30" i="9" s="1"/>
  <c r="C31" i="9"/>
  <c r="D31" i="9"/>
  <c r="E31" i="9"/>
  <c r="F31" i="9"/>
  <c r="G31" i="9"/>
  <c r="K31" i="9"/>
  <c r="H31" i="9" s="1"/>
  <c r="C32" i="9"/>
  <c r="D32" i="9"/>
  <c r="E32" i="9"/>
  <c r="F32" i="9"/>
  <c r="G32" i="9"/>
  <c r="K32" i="9"/>
  <c r="H32" i="9" s="1"/>
  <c r="C33" i="9"/>
  <c r="D33" i="9"/>
  <c r="E33" i="9"/>
  <c r="F33" i="9"/>
  <c r="G33" i="9"/>
  <c r="K33" i="9"/>
  <c r="H33" i="9" s="1"/>
  <c r="C34" i="9"/>
  <c r="D34" i="9"/>
  <c r="E34" i="9"/>
  <c r="F34" i="9"/>
  <c r="G34" i="9"/>
  <c r="C35" i="9"/>
  <c r="D35" i="9"/>
  <c r="E35" i="9"/>
  <c r="F35" i="9"/>
  <c r="G35" i="9"/>
  <c r="L124" i="8"/>
  <c r="L123" i="8"/>
  <c r="L122" i="8"/>
  <c r="AF40" i="8"/>
  <c r="AF39" i="8"/>
  <c r="K35" i="9"/>
  <c r="H35" i="9" s="1"/>
  <c r="K34" i="9"/>
  <c r="H34" i="9" s="1"/>
  <c r="H36" i="9" l="1"/>
  <c r="I36" i="9" s="1"/>
  <c r="I35" i="9"/>
  <c r="I29" i="9"/>
  <c r="I25" i="9"/>
  <c r="I33" i="9"/>
  <c r="I34" i="9"/>
  <c r="I30" i="9"/>
  <c r="I26" i="9"/>
  <c r="I32" i="9"/>
  <c r="I27" i="9"/>
  <c r="I31" i="9"/>
  <c r="I28" i="9"/>
  <c r="Y38" i="8" l="1"/>
  <c r="AF38" i="8" s="1"/>
  <c r="Y37" i="8"/>
  <c r="AF37" i="8" s="1"/>
  <c r="Y36" i="8"/>
  <c r="AF36" i="8" s="1"/>
  <c r="P37" i="8"/>
  <c r="L33" i="9" s="1"/>
  <c r="S36" i="8"/>
  <c r="S39" i="8"/>
  <c r="S40" i="8"/>
  <c r="P36" i="8"/>
  <c r="L32" i="9" s="1"/>
  <c r="P39" i="8"/>
  <c r="L35" i="9" s="1"/>
  <c r="P40" i="8"/>
  <c r="Y28" i="8"/>
  <c r="Y29" i="8"/>
  <c r="Y30" i="8"/>
  <c r="AF30" i="8" s="1"/>
  <c r="Y31" i="8"/>
  <c r="AF31" i="8" s="1"/>
  <c r="Y32" i="8"/>
  <c r="AF32" i="8" s="1"/>
  <c r="Y33" i="8"/>
  <c r="AF33" i="8" s="1"/>
  <c r="S33" i="8"/>
  <c r="S32" i="8"/>
  <c r="S31" i="8"/>
  <c r="S30" i="8"/>
  <c r="S29" i="8"/>
  <c r="S28" i="8"/>
  <c r="L36" i="9" l="1"/>
  <c r="S38" i="8"/>
  <c r="P38" i="8"/>
  <c r="L34" i="9" s="1"/>
  <c r="S37" i="8"/>
  <c r="L27" i="9" l="1"/>
  <c r="L28" i="9"/>
  <c r="L29" i="9"/>
  <c r="L30" i="9"/>
  <c r="L31" i="9"/>
  <c r="L26" i="9"/>
  <c r="L25" i="9"/>
  <c r="O35" i="8"/>
  <c r="Q35" i="8" l="1"/>
  <c r="Y35" i="8"/>
  <c r="K24" i="9"/>
  <c r="P35" i="8"/>
  <c r="S35" i="8"/>
  <c r="H24" i="9" l="1"/>
  <c r="I24" i="9" s="1"/>
  <c r="P40" i="9"/>
  <c r="L24" i="9"/>
  <c r="O27" i="8"/>
  <c r="O26" i="8"/>
  <c r="O25" i="8"/>
  <c r="P23" i="8" l="1"/>
  <c r="C18" i="9" l="1"/>
  <c r="D18" i="9"/>
  <c r="E18" i="9"/>
  <c r="F18" i="9"/>
  <c r="G18" i="9"/>
  <c r="C19" i="9"/>
  <c r="D19" i="9"/>
  <c r="E19" i="9"/>
  <c r="F19" i="9"/>
  <c r="G19" i="9"/>
  <c r="K19" i="9"/>
  <c r="H19" i="9" s="1"/>
  <c r="L19" i="9"/>
  <c r="C20" i="9"/>
  <c r="D20" i="9"/>
  <c r="E20" i="9"/>
  <c r="F20" i="9"/>
  <c r="G20" i="9"/>
  <c r="K20" i="9"/>
  <c r="H20" i="9" s="1"/>
  <c r="C21" i="9"/>
  <c r="D21" i="9"/>
  <c r="E21" i="9"/>
  <c r="F21" i="9"/>
  <c r="G21" i="9"/>
  <c r="K21" i="9"/>
  <c r="H21" i="9" s="1"/>
  <c r="C22" i="9"/>
  <c r="D22" i="9"/>
  <c r="E22" i="9"/>
  <c r="F22" i="9"/>
  <c r="G22" i="9"/>
  <c r="K22" i="9"/>
  <c r="H22" i="9" s="1"/>
  <c r="C23" i="9"/>
  <c r="D23" i="9"/>
  <c r="E23" i="9"/>
  <c r="F23" i="9"/>
  <c r="G23" i="9"/>
  <c r="K23" i="9"/>
  <c r="I19" i="9" l="1"/>
  <c r="I22" i="9"/>
  <c r="I21" i="9"/>
  <c r="H23" i="9"/>
  <c r="I23" i="9" s="1"/>
  <c r="I20" i="9"/>
  <c r="T71" i="8"/>
  <c r="U71" i="8"/>
  <c r="V71" i="8"/>
  <c r="P26" i="8"/>
  <c r="L22" i="9" s="1"/>
  <c r="S26" i="8"/>
  <c r="W26" i="8"/>
  <c r="AF26" i="8" s="1"/>
  <c r="P27" i="8"/>
  <c r="L23" i="9" s="1"/>
  <c r="S27" i="8"/>
  <c r="W27" i="8"/>
  <c r="AF27" i="8" s="1"/>
  <c r="W25" i="8"/>
  <c r="AF25" i="8" s="1"/>
  <c r="P25" i="8"/>
  <c r="L21" i="9" s="1"/>
  <c r="S25" i="8"/>
  <c r="O22" i="8" l="1"/>
  <c r="K18" i="9" s="1"/>
  <c r="H18" i="9" s="1"/>
  <c r="I18" i="9" s="1"/>
  <c r="O21" i="8"/>
  <c r="C15" i="9" l="1"/>
  <c r="D15" i="9"/>
  <c r="E15" i="9"/>
  <c r="F15" i="9"/>
  <c r="G15" i="9"/>
  <c r="C16" i="9"/>
  <c r="D16" i="9"/>
  <c r="E16" i="9"/>
  <c r="F16" i="9"/>
  <c r="G16" i="9"/>
  <c r="K16" i="9"/>
  <c r="H16" i="9" s="1"/>
  <c r="C17" i="9"/>
  <c r="D17" i="9"/>
  <c r="E17" i="9"/>
  <c r="F17" i="9"/>
  <c r="G17" i="9"/>
  <c r="K17" i="9"/>
  <c r="H17" i="9" s="1"/>
  <c r="W24" i="8"/>
  <c r="S24" i="8"/>
  <c r="P24" i="8"/>
  <c r="L20" i="9" s="1"/>
  <c r="W23" i="8"/>
  <c r="S23" i="8"/>
  <c r="I16" i="9" l="1"/>
  <c r="I17" i="9"/>
  <c r="O19" i="8"/>
  <c r="P19" i="8" l="1"/>
  <c r="K15" i="9"/>
  <c r="S19" i="8"/>
  <c r="L15" i="9"/>
  <c r="S22" i="8"/>
  <c r="S21" i="8"/>
  <c r="H15" i="9" l="1"/>
  <c r="I15" i="9" s="1"/>
  <c r="N23" i="9"/>
  <c r="P23" i="9" s="1"/>
  <c r="W22" i="8"/>
  <c r="W21" i="8"/>
  <c r="P22" i="8"/>
  <c r="L18" i="9" s="1"/>
  <c r="P21" i="8"/>
  <c r="L17" i="9" s="1"/>
  <c r="S20" i="8"/>
  <c r="W71" i="8" l="1"/>
  <c r="P20" i="8"/>
  <c r="L16" i="9" l="1"/>
  <c r="K123" i="8" l="1"/>
  <c r="K124" i="8"/>
  <c r="U18" i="8"/>
  <c r="U17" i="8"/>
  <c r="N77" i="8"/>
  <c r="C13" i="9" l="1"/>
  <c r="D13" i="9"/>
  <c r="E13" i="9"/>
  <c r="F13" i="9"/>
  <c r="G13" i="9"/>
  <c r="K13" i="9"/>
  <c r="C14" i="9"/>
  <c r="D14" i="9"/>
  <c r="E14" i="9"/>
  <c r="F14" i="9"/>
  <c r="G14" i="9"/>
  <c r="K14" i="9"/>
  <c r="H14" i="9" s="1"/>
  <c r="P18" i="8"/>
  <c r="L14" i="9" s="1"/>
  <c r="S18" i="8"/>
  <c r="AF18" i="8"/>
  <c r="S17" i="8"/>
  <c r="H13" i="9" l="1"/>
  <c r="I13" i="9" s="1"/>
  <c r="N14" i="9"/>
  <c r="I14" i="9"/>
  <c r="P17" i="8"/>
  <c r="L13" i="9" s="1"/>
  <c r="K148" i="10" l="1"/>
  <c r="L148" i="10" s="1"/>
  <c r="J148" i="10"/>
  <c r="K147" i="10"/>
  <c r="L147" i="10" s="1"/>
  <c r="J147" i="10"/>
  <c r="L146" i="10"/>
  <c r="K146" i="10"/>
  <c r="J146" i="10"/>
  <c r="M139" i="10"/>
  <c r="M138" i="10"/>
  <c r="L138" i="10"/>
  <c r="L139" i="10" s="1"/>
  <c r="H138" i="10"/>
  <c r="M137" i="10"/>
  <c r="L137" i="10"/>
  <c r="M134" i="10"/>
  <c r="L134" i="10"/>
  <c r="H134" i="10"/>
  <c r="M133" i="10"/>
  <c r="M135" i="10" s="1"/>
  <c r="L133" i="10"/>
  <c r="L135" i="10" s="1"/>
  <c r="I133" i="10"/>
  <c r="J133" i="10" s="1"/>
  <c r="H133" i="10"/>
  <c r="M132" i="10"/>
  <c r="L132" i="10"/>
  <c r="M129" i="10"/>
  <c r="L129" i="10"/>
  <c r="J129" i="10"/>
  <c r="I129" i="10"/>
  <c r="H129" i="10"/>
  <c r="M128" i="10"/>
  <c r="L128" i="10"/>
  <c r="H128" i="10"/>
  <c r="M127" i="10"/>
  <c r="M130" i="10" s="1"/>
  <c r="L127" i="10"/>
  <c r="L130" i="10" s="1"/>
  <c r="H127" i="10"/>
  <c r="H130" i="10" s="1"/>
  <c r="AC98" i="10"/>
  <c r="V98" i="10"/>
  <c r="U98" i="10"/>
  <c r="S98" i="10"/>
  <c r="R98" i="10"/>
  <c r="Q98" i="10"/>
  <c r="K98" i="10"/>
  <c r="AD96" i="10"/>
  <c r="P96" i="10"/>
  <c r="N96" i="10"/>
  <c r="AB95" i="10"/>
  <c r="AD95" i="10" s="1"/>
  <c r="P95" i="10"/>
  <c r="N95" i="10"/>
  <c r="AB94" i="10"/>
  <c r="O94" i="10"/>
  <c r="M94" i="10"/>
  <c r="AD93" i="10"/>
  <c r="P93" i="10"/>
  <c r="N93" i="10"/>
  <c r="AD92" i="10"/>
  <c r="AA92" i="10"/>
  <c r="M92" i="10"/>
  <c r="AA91" i="10"/>
  <c r="AD91" i="10" s="1"/>
  <c r="P91" i="10"/>
  <c r="N91" i="10"/>
  <c r="M91" i="10"/>
  <c r="AA90" i="10"/>
  <c r="AD90" i="10" s="1"/>
  <c r="M90" i="10"/>
  <c r="AA89" i="10"/>
  <c r="AD89" i="10" s="1"/>
  <c r="M89" i="10"/>
  <c r="AD88" i="10"/>
  <c r="AA88" i="10"/>
  <c r="O88" i="10"/>
  <c r="P88" i="10" s="1"/>
  <c r="N88" i="10"/>
  <c r="M88" i="10"/>
  <c r="AD87" i="10"/>
  <c r="P87" i="10"/>
  <c r="N87" i="10"/>
  <c r="Z86" i="10"/>
  <c r="AD86" i="10" s="1"/>
  <c r="P86" i="10"/>
  <c r="N86" i="10"/>
  <c r="Z85" i="10"/>
  <c r="AD85" i="10" s="1"/>
  <c r="P85" i="10"/>
  <c r="N85" i="10"/>
  <c r="Z84" i="10"/>
  <c r="AD84" i="10" s="1"/>
  <c r="Z83" i="10"/>
  <c r="AD83" i="10" s="1"/>
  <c r="Z82" i="10"/>
  <c r="AD82" i="10" s="1"/>
  <c r="Z81" i="10"/>
  <c r="AD81" i="10" s="1"/>
  <c r="Z80" i="10"/>
  <c r="AD80" i="10" s="1"/>
  <c r="P80" i="10"/>
  <c r="N80" i="10"/>
  <c r="Z79" i="10"/>
  <c r="AD79" i="10" s="1"/>
  <c r="P79" i="10"/>
  <c r="N79" i="10"/>
  <c r="Z78" i="10"/>
  <c r="AD78" i="10" s="1"/>
  <c r="P78" i="10"/>
  <c r="N78" i="10"/>
  <c r="Z77" i="10"/>
  <c r="I134" i="10" s="1"/>
  <c r="J134" i="10" s="1"/>
  <c r="P77" i="10"/>
  <c r="N77" i="10"/>
  <c r="Z76" i="10"/>
  <c r="AD76" i="10" s="1"/>
  <c r="AD75" i="10"/>
  <c r="AB75" i="10"/>
  <c r="P75" i="10"/>
  <c r="N75" i="10"/>
  <c r="AD74" i="10"/>
  <c r="Z74" i="10"/>
  <c r="Z73" i="10"/>
  <c r="AD73" i="10" s="1"/>
  <c r="Z72" i="10"/>
  <c r="Z98" i="10" s="1"/>
  <c r="Z71" i="10"/>
  <c r="AD71" i="10" s="1"/>
  <c r="AD70" i="10"/>
  <c r="AB70" i="10"/>
  <c r="P70" i="10"/>
  <c r="N70" i="10"/>
  <c r="AD69" i="10"/>
  <c r="AB69" i="10"/>
  <c r="P69" i="10"/>
  <c r="N69" i="10"/>
  <c r="AD68" i="10"/>
  <c r="AB68" i="10"/>
  <c r="P68" i="10"/>
  <c r="N68" i="10"/>
  <c r="AD67" i="10"/>
  <c r="AB67" i="10"/>
  <c r="I128" i="10" s="1"/>
  <c r="J128" i="10" s="1"/>
  <c r="P67" i="10"/>
  <c r="N67" i="10"/>
  <c r="Y66" i="10"/>
  <c r="AD66" i="10" s="1"/>
  <c r="Y65" i="10"/>
  <c r="AD65" i="10" s="1"/>
  <c r="P65" i="10"/>
  <c r="N65" i="10"/>
  <c r="Y64" i="10"/>
  <c r="AD64" i="10" s="1"/>
  <c r="P64" i="10"/>
  <c r="N64" i="10"/>
  <c r="Y63" i="10"/>
  <c r="AD63" i="10" s="1"/>
  <c r="P63" i="10"/>
  <c r="N63" i="10"/>
  <c r="AB62" i="10"/>
  <c r="AD62" i="10" s="1"/>
  <c r="P62" i="10"/>
  <c r="N62" i="10"/>
  <c r="AB61" i="10"/>
  <c r="AD61" i="10" s="1"/>
  <c r="P61" i="10"/>
  <c r="N61" i="10"/>
  <c r="AB60" i="10"/>
  <c r="AD60" i="10" s="1"/>
  <c r="P60" i="10"/>
  <c r="N60" i="10"/>
  <c r="AD59" i="10"/>
  <c r="P59" i="10"/>
  <c r="N59" i="10"/>
  <c r="AD58" i="10"/>
  <c r="Y57" i="10"/>
  <c r="AD57" i="10" s="1"/>
  <c r="P57" i="10"/>
  <c r="N57" i="10"/>
  <c r="X56" i="10"/>
  <c r="AD56" i="10" s="1"/>
  <c r="P56" i="10"/>
  <c r="N56" i="10"/>
  <c r="M56" i="10"/>
  <c r="X55" i="10"/>
  <c r="AD55" i="10" s="1"/>
  <c r="P55" i="10"/>
  <c r="M55" i="10"/>
  <c r="N55" i="10" s="1"/>
  <c r="AD54" i="10"/>
  <c r="X54" i="10"/>
  <c r="M54" i="10"/>
  <c r="AD53" i="10"/>
  <c r="P53" i="10"/>
  <c r="N53" i="10"/>
  <c r="AD52" i="10"/>
  <c r="P52" i="10"/>
  <c r="N52" i="10"/>
  <c r="Y51" i="10"/>
  <c r="AD51" i="10" s="1"/>
  <c r="P51" i="10"/>
  <c r="N51" i="10"/>
  <c r="AB50" i="10"/>
  <c r="AA50" i="10"/>
  <c r="Z50" i="10"/>
  <c r="Y50" i="10"/>
  <c r="X50" i="10"/>
  <c r="AD50" i="10" s="1"/>
  <c r="P50" i="10"/>
  <c r="N50" i="10"/>
  <c r="AB49" i="10"/>
  <c r="AA49" i="10"/>
  <c r="Z49" i="10"/>
  <c r="Y49" i="10"/>
  <c r="X49" i="10"/>
  <c r="P49" i="10"/>
  <c r="N49" i="10"/>
  <c r="AB48" i="10"/>
  <c r="AA48" i="10"/>
  <c r="Z48" i="10"/>
  <c r="Y48" i="10"/>
  <c r="X48" i="10"/>
  <c r="P48" i="10"/>
  <c r="N48" i="10"/>
  <c r="AB47" i="10"/>
  <c r="AA47" i="10"/>
  <c r="Z47" i="10"/>
  <c r="Y47" i="10"/>
  <c r="Y98" i="10" s="1"/>
  <c r="X47" i="10"/>
  <c r="AD47" i="10" s="1"/>
  <c r="P47" i="10"/>
  <c r="N47" i="10"/>
  <c r="AD46" i="10"/>
  <c r="P46" i="10"/>
  <c r="N46" i="10"/>
  <c r="X45" i="10"/>
  <c r="AD45" i="10" s="1"/>
  <c r="P45" i="10"/>
  <c r="N45" i="10"/>
  <c r="M45" i="10"/>
  <c r="X44" i="10"/>
  <c r="AD44" i="10" s="1"/>
  <c r="P44" i="10"/>
  <c r="M44" i="10"/>
  <c r="N44" i="10" s="1"/>
  <c r="M43" i="10"/>
  <c r="X43" i="10" s="1"/>
  <c r="AD42" i="10"/>
  <c r="P42" i="10"/>
  <c r="N42" i="10"/>
  <c r="AD41" i="10"/>
  <c r="P41" i="10"/>
  <c r="N41" i="10"/>
  <c r="W40" i="10"/>
  <c r="AD40" i="10" s="1"/>
  <c r="P40" i="10"/>
  <c r="N40" i="10"/>
  <c r="W39" i="10"/>
  <c r="AD39" i="10" s="1"/>
  <c r="P39" i="10"/>
  <c r="N39" i="10"/>
  <c r="W38" i="10"/>
  <c r="P38" i="10"/>
  <c r="N38" i="10"/>
  <c r="AD37" i="10"/>
  <c r="P37" i="10"/>
  <c r="N37" i="10"/>
  <c r="AD36" i="10"/>
  <c r="P36" i="10"/>
  <c r="N36" i="10"/>
  <c r="AD35" i="10"/>
  <c r="P35" i="10"/>
  <c r="N35" i="10"/>
  <c r="AD34" i="10"/>
  <c r="P34" i="10"/>
  <c r="N34" i="10"/>
  <c r="AD33" i="10"/>
  <c r="P33" i="10"/>
  <c r="N33" i="10"/>
  <c r="AD32" i="10"/>
  <c r="P32" i="10"/>
  <c r="N32" i="10"/>
  <c r="AD31" i="10"/>
  <c r="P31" i="10"/>
  <c r="N31" i="10"/>
  <c r="AD30" i="10"/>
  <c r="P30" i="10"/>
  <c r="N30" i="10"/>
  <c r="W29" i="10"/>
  <c r="P29" i="10"/>
  <c r="N29" i="10"/>
  <c r="AD28" i="10"/>
  <c r="AD27" i="10"/>
  <c r="AD26" i="10"/>
  <c r="P26" i="10"/>
  <c r="N26" i="10"/>
  <c r="AD25" i="10"/>
  <c r="P25" i="10"/>
  <c r="N25" i="10"/>
  <c r="AD24" i="10"/>
  <c r="P24" i="10"/>
  <c r="N24" i="10"/>
  <c r="AD23" i="10"/>
  <c r="P23" i="10"/>
  <c r="N23" i="10"/>
  <c r="AD22" i="10"/>
  <c r="P22" i="10"/>
  <c r="N22" i="10"/>
  <c r="AD21" i="10"/>
  <c r="P21" i="10"/>
  <c r="N21" i="10"/>
  <c r="AD20" i="10"/>
  <c r="P20" i="10"/>
  <c r="N20" i="10"/>
  <c r="AD19" i="10"/>
  <c r="P19" i="10"/>
  <c r="N19" i="10"/>
  <c r="AD18" i="10"/>
  <c r="P18" i="10"/>
  <c r="N18" i="10"/>
  <c r="AD17" i="10"/>
  <c r="N17" i="10"/>
  <c r="M16" i="10"/>
  <c r="T16" i="10" s="1"/>
  <c r="AD16" i="10" s="1"/>
  <c r="M15" i="10"/>
  <c r="T15" i="10" s="1"/>
  <c r="AD15" i="10" s="1"/>
  <c r="AD14" i="10"/>
  <c r="T14" i="10"/>
  <c r="P14" i="10"/>
  <c r="N14" i="10"/>
  <c r="AD13" i="10"/>
  <c r="P13" i="10"/>
  <c r="N13" i="10"/>
  <c r="AD12" i="10"/>
  <c r="P12" i="10"/>
  <c r="N12" i="10"/>
  <c r="AD11" i="10"/>
  <c r="P11" i="10"/>
  <c r="N11" i="10"/>
  <c r="AD10" i="10"/>
  <c r="P10" i="10"/>
  <c r="N10" i="10"/>
  <c r="AD9" i="10"/>
  <c r="P9" i="10"/>
  <c r="N9" i="10"/>
  <c r="AD8" i="10"/>
  <c r="AD7" i="10"/>
  <c r="P7" i="10"/>
  <c r="N7" i="10"/>
  <c r="AD6" i="10"/>
  <c r="P6" i="10"/>
  <c r="N6" i="10"/>
  <c r="AD5" i="10"/>
  <c r="P5" i="10"/>
  <c r="N5" i="10"/>
  <c r="I132" i="10" l="1"/>
  <c r="J132" i="10" s="1"/>
  <c r="J135" i="10" s="1"/>
  <c r="X98" i="10"/>
  <c r="AD43" i="10"/>
  <c r="AD72" i="10"/>
  <c r="K117" i="10"/>
  <c r="K119" i="10" s="1"/>
  <c r="M140" i="10"/>
  <c r="P92" i="10"/>
  <c r="N92" i="10"/>
  <c r="M110" i="10"/>
  <c r="AD94" i="10"/>
  <c r="AD49" i="10"/>
  <c r="I137" i="10"/>
  <c r="J137" i="10" s="1"/>
  <c r="T98" i="10"/>
  <c r="AA98" i="10"/>
  <c r="AD48" i="10"/>
  <c r="P54" i="10"/>
  <c r="N54" i="10"/>
  <c r="P94" i="10"/>
  <c r="N94" i="10"/>
  <c r="J117" i="10"/>
  <c r="J119" i="10" s="1"/>
  <c r="AD29" i="10"/>
  <c r="I127" i="10"/>
  <c r="W98" i="10"/>
  <c r="H132" i="10"/>
  <c r="H135" i="10" s="1"/>
  <c r="P43" i="10"/>
  <c r="K116" i="10"/>
  <c r="K118" i="10" s="1"/>
  <c r="N43" i="10"/>
  <c r="J116" i="10"/>
  <c r="J118" i="10" s="1"/>
  <c r="AD38" i="10"/>
  <c r="I138" i="10"/>
  <c r="AB98" i="10"/>
  <c r="L140" i="10"/>
  <c r="H137" i="10"/>
  <c r="H139" i="10" s="1"/>
  <c r="M98" i="10"/>
  <c r="K112" i="10" s="1"/>
  <c r="AD77" i="10"/>
  <c r="T10" i="8"/>
  <c r="T11" i="8"/>
  <c r="T12" i="8"/>
  <c r="T13" i="8"/>
  <c r="T14" i="8"/>
  <c r="T15" i="8"/>
  <c r="T16" i="8"/>
  <c r="T9" i="8"/>
  <c r="AF9" i="8"/>
  <c r="L92" i="8"/>
  <c r="I83" i="8"/>
  <c r="J97" i="8" s="1"/>
  <c r="S10" i="8"/>
  <c r="S11" i="8"/>
  <c r="S12" i="8"/>
  <c r="S13" i="8"/>
  <c r="S14" i="8"/>
  <c r="S15" i="8"/>
  <c r="S16" i="8"/>
  <c r="S9" i="8"/>
  <c r="T70" i="8" l="1"/>
  <c r="I139" i="10"/>
  <c r="J138" i="10"/>
  <c r="K121" i="10"/>
  <c r="L141" i="10"/>
  <c r="K123" i="10"/>
  <c r="H140" i="10"/>
  <c r="H141" i="10" s="1"/>
  <c r="AD98" i="10"/>
  <c r="I135" i="10"/>
  <c r="I130" i="10"/>
  <c r="J127" i="10"/>
  <c r="P16" i="8"/>
  <c r="P15" i="8"/>
  <c r="P14" i="8"/>
  <c r="P13" i="8"/>
  <c r="P12" i="8"/>
  <c r="P11" i="8"/>
  <c r="P10" i="8"/>
  <c r="P9" i="8"/>
  <c r="J139" i="10" l="1"/>
  <c r="I140" i="10"/>
  <c r="J130" i="10"/>
  <c r="AE98" i="10"/>
  <c r="K113" i="10"/>
  <c r="C60" i="9"/>
  <c r="D60" i="9"/>
  <c r="E60" i="9"/>
  <c r="F60" i="9"/>
  <c r="G60" i="9"/>
  <c r="K60" i="9"/>
  <c r="L60" i="9"/>
  <c r="C6" i="9"/>
  <c r="D6" i="9"/>
  <c r="E6" i="9"/>
  <c r="F6" i="9"/>
  <c r="G6" i="9"/>
  <c r="K6" i="9"/>
  <c r="H6" i="9" s="1"/>
  <c r="L6" i="9"/>
  <c r="C7" i="9"/>
  <c r="D7" i="9"/>
  <c r="E7" i="9"/>
  <c r="F7" i="9"/>
  <c r="G7" i="9"/>
  <c r="K7" i="9"/>
  <c r="H7" i="9" s="1"/>
  <c r="L7" i="9"/>
  <c r="C8" i="9"/>
  <c r="D8" i="9"/>
  <c r="E8" i="9"/>
  <c r="F8" i="9"/>
  <c r="G8" i="9"/>
  <c r="K8" i="9"/>
  <c r="H8" i="9" s="1"/>
  <c r="L8" i="9"/>
  <c r="C9" i="9"/>
  <c r="D9" i="9"/>
  <c r="E9" i="9"/>
  <c r="F9" i="9"/>
  <c r="G9" i="9"/>
  <c r="K9" i="9"/>
  <c r="H9" i="9" s="1"/>
  <c r="L9" i="9"/>
  <c r="C10" i="9"/>
  <c r="D10" i="9"/>
  <c r="E10" i="9"/>
  <c r="F10" i="9"/>
  <c r="G10" i="9"/>
  <c r="K10" i="9"/>
  <c r="H10" i="9" s="1"/>
  <c r="L10" i="9"/>
  <c r="C11" i="9"/>
  <c r="D11" i="9"/>
  <c r="E11" i="9"/>
  <c r="F11" i="9"/>
  <c r="G11" i="9"/>
  <c r="K11" i="9"/>
  <c r="H11" i="9" s="1"/>
  <c r="L11" i="9"/>
  <c r="C12" i="9"/>
  <c r="D12" i="9"/>
  <c r="E12" i="9"/>
  <c r="F12" i="9"/>
  <c r="G12" i="9"/>
  <c r="K12" i="9"/>
  <c r="H12" i="9" s="1"/>
  <c r="L12" i="9"/>
  <c r="C41" i="9"/>
  <c r="D41" i="9"/>
  <c r="E41" i="9"/>
  <c r="F41" i="9"/>
  <c r="G41" i="9"/>
  <c r="K41" i="9"/>
  <c r="L41" i="9"/>
  <c r="C42" i="9"/>
  <c r="D42" i="9"/>
  <c r="E42" i="9"/>
  <c r="F42" i="9"/>
  <c r="G42" i="9"/>
  <c r="K42" i="9"/>
  <c r="L42" i="9"/>
  <c r="C43" i="9"/>
  <c r="D43" i="9"/>
  <c r="E43" i="9"/>
  <c r="F43" i="9"/>
  <c r="G43" i="9"/>
  <c r="K43" i="9"/>
  <c r="L43" i="9"/>
  <c r="C44" i="9"/>
  <c r="D44" i="9"/>
  <c r="E44" i="9"/>
  <c r="F44" i="9"/>
  <c r="G44" i="9"/>
  <c r="K44" i="9"/>
  <c r="L44" i="9"/>
  <c r="C45" i="9"/>
  <c r="D45" i="9"/>
  <c r="E45" i="9"/>
  <c r="F45" i="9"/>
  <c r="G45" i="9"/>
  <c r="K45" i="9"/>
  <c r="L45" i="9"/>
  <c r="C46" i="9"/>
  <c r="D46" i="9"/>
  <c r="E46" i="9"/>
  <c r="F46" i="9"/>
  <c r="G46" i="9"/>
  <c r="K46" i="9"/>
  <c r="L46" i="9"/>
  <c r="C47" i="9"/>
  <c r="D47" i="9"/>
  <c r="E47" i="9"/>
  <c r="F47" i="9"/>
  <c r="G47" i="9"/>
  <c r="K47" i="9"/>
  <c r="L47" i="9"/>
  <c r="C48" i="9"/>
  <c r="D48" i="9"/>
  <c r="E48" i="9"/>
  <c r="F48" i="9"/>
  <c r="G48" i="9"/>
  <c r="K48" i="9"/>
  <c r="L48" i="9"/>
  <c r="C49" i="9"/>
  <c r="D49" i="9"/>
  <c r="E49" i="9"/>
  <c r="F49" i="9"/>
  <c r="G49" i="9"/>
  <c r="K49" i="9"/>
  <c r="L49" i="9"/>
  <c r="C50" i="9"/>
  <c r="D50" i="9"/>
  <c r="E50" i="9"/>
  <c r="F50" i="9"/>
  <c r="G50" i="9"/>
  <c r="K50" i="9"/>
  <c r="L50" i="9"/>
  <c r="C51" i="9"/>
  <c r="D51" i="9"/>
  <c r="E51" i="9"/>
  <c r="F51" i="9"/>
  <c r="G51" i="9"/>
  <c r="K51" i="9"/>
  <c r="L51" i="9"/>
  <c r="C52" i="9"/>
  <c r="D52" i="9"/>
  <c r="E52" i="9"/>
  <c r="F52" i="9"/>
  <c r="G52" i="9"/>
  <c r="K52" i="9"/>
  <c r="L52" i="9"/>
  <c r="C53" i="9"/>
  <c r="D53" i="9"/>
  <c r="E53" i="9"/>
  <c r="F53" i="9"/>
  <c r="G53" i="9"/>
  <c r="K53" i="9"/>
  <c r="L53" i="9"/>
  <c r="C54" i="9"/>
  <c r="D54" i="9"/>
  <c r="E54" i="9"/>
  <c r="F54" i="9"/>
  <c r="G54" i="9"/>
  <c r="K54" i="9"/>
  <c r="L54" i="9"/>
  <c r="C55" i="9"/>
  <c r="D55" i="9"/>
  <c r="E55" i="9"/>
  <c r="F55" i="9"/>
  <c r="G55" i="9"/>
  <c r="K55" i="9"/>
  <c r="L55" i="9"/>
  <c r="C56" i="9"/>
  <c r="D56" i="9"/>
  <c r="E56" i="9"/>
  <c r="F56" i="9"/>
  <c r="G56" i="9"/>
  <c r="K56" i="9"/>
  <c r="L56" i="9"/>
  <c r="C57" i="9"/>
  <c r="D57" i="9"/>
  <c r="E57" i="9"/>
  <c r="F57" i="9"/>
  <c r="G57" i="9"/>
  <c r="K57" i="9"/>
  <c r="L57" i="9"/>
  <c r="C58" i="9"/>
  <c r="D58" i="9"/>
  <c r="E58" i="9"/>
  <c r="F58" i="9"/>
  <c r="G58" i="9"/>
  <c r="K58" i="9"/>
  <c r="L58" i="9"/>
  <c r="C59" i="9"/>
  <c r="D59" i="9"/>
  <c r="E59" i="9"/>
  <c r="F59" i="9"/>
  <c r="G59" i="9"/>
  <c r="K59" i="9"/>
  <c r="L59" i="9"/>
  <c r="L5" i="9"/>
  <c r="K5" i="9"/>
  <c r="H5" i="9" s="1"/>
  <c r="G5" i="9"/>
  <c r="F5" i="9"/>
  <c r="E5" i="9"/>
  <c r="D5" i="9"/>
  <c r="C5" i="9"/>
  <c r="U70" i="8"/>
  <c r="V70" i="8"/>
  <c r="W70" i="8"/>
  <c r="X70" i="8"/>
  <c r="M81" i="8"/>
  <c r="Z70" i="8"/>
  <c r="AA70" i="8"/>
  <c r="AB70" i="8"/>
  <c r="AC70" i="8"/>
  <c r="AD70" i="8"/>
  <c r="AE70" i="8"/>
  <c r="AF10" i="8"/>
  <c r="AF11" i="8"/>
  <c r="AF12" i="8"/>
  <c r="AF13" i="8"/>
  <c r="AF14" i="8"/>
  <c r="AF15" i="8"/>
  <c r="AF16" i="8"/>
  <c r="AF17" i="8"/>
  <c r="AF20" i="8"/>
  <c r="AF21" i="8"/>
  <c r="AF22" i="8"/>
  <c r="AF23" i="8"/>
  <c r="AF24" i="8"/>
  <c r="AF35" i="8"/>
  <c r="AF28" i="8"/>
  <c r="AF29" i="8"/>
  <c r="AF43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H64" i="9"/>
  <c r="G64" i="9"/>
  <c r="F64" i="9"/>
  <c r="E64" i="9"/>
  <c r="D64" i="9"/>
  <c r="J124" i="8"/>
  <c r="M124" i="8" s="1"/>
  <c r="J123" i="8"/>
  <c r="M123" i="8" s="1"/>
  <c r="K122" i="8"/>
  <c r="J122" i="8"/>
  <c r="M114" i="8"/>
  <c r="L114" i="8"/>
  <c r="I114" i="8"/>
  <c r="J114" i="8" s="1"/>
  <c r="H114" i="8"/>
  <c r="M113" i="8"/>
  <c r="L113" i="8"/>
  <c r="I113" i="8"/>
  <c r="J113" i="8" s="1"/>
  <c r="H113" i="8"/>
  <c r="M110" i="8"/>
  <c r="L110" i="8"/>
  <c r="H110" i="8"/>
  <c r="M109" i="8"/>
  <c r="L109" i="8"/>
  <c r="M108" i="8"/>
  <c r="L108" i="8"/>
  <c r="M105" i="8"/>
  <c r="L105" i="8"/>
  <c r="I105" i="8"/>
  <c r="J105" i="8" s="1"/>
  <c r="H105" i="8"/>
  <c r="M104" i="8"/>
  <c r="L104" i="8"/>
  <c r="H104" i="8"/>
  <c r="M103" i="8"/>
  <c r="L103" i="8"/>
  <c r="L93" i="8"/>
  <c r="L95" i="8" s="1"/>
  <c r="I109" i="8"/>
  <c r="J109" i="8" s="1"/>
  <c r="I110" i="8"/>
  <c r="J110" i="8" s="1"/>
  <c r="H103" i="8"/>
  <c r="N43" i="9" l="1"/>
  <c r="M122" i="8"/>
  <c r="J93" i="8"/>
  <c r="J95" i="8" s="1"/>
  <c r="M111" i="8"/>
  <c r="I88" i="8"/>
  <c r="M115" i="8"/>
  <c r="I87" i="8"/>
  <c r="I86" i="8"/>
  <c r="P14" i="9"/>
  <c r="L115" i="8"/>
  <c r="I7" i="9"/>
  <c r="L111" i="8"/>
  <c r="K122" i="10"/>
  <c r="I141" i="10"/>
  <c r="J140" i="10"/>
  <c r="I12" i="9"/>
  <c r="I6" i="9"/>
  <c r="I8" i="9"/>
  <c r="N45" i="9"/>
  <c r="N60" i="9"/>
  <c r="N50" i="9"/>
  <c r="N55" i="9"/>
  <c r="I9" i="9"/>
  <c r="J92" i="8"/>
  <c r="I84" i="8"/>
  <c r="N12" i="9"/>
  <c r="P12" i="9" s="1"/>
  <c r="I10" i="9"/>
  <c r="I11" i="9"/>
  <c r="G62" i="9"/>
  <c r="L106" i="8"/>
  <c r="H115" i="8"/>
  <c r="H106" i="8"/>
  <c r="M106" i="8"/>
  <c r="K62" i="9"/>
  <c r="L94" i="8"/>
  <c r="J115" i="8"/>
  <c r="H109" i="8"/>
  <c r="I104" i="8"/>
  <c r="J104" i="8" s="1"/>
  <c r="H108" i="8"/>
  <c r="I115" i="8"/>
  <c r="N93" i="8"/>
  <c r="F97" i="5"/>
  <c r="K97" i="6"/>
  <c r="P61" i="9" l="1"/>
  <c r="H66" i="9" s="1"/>
  <c r="K88" i="8"/>
  <c r="L116" i="8"/>
  <c r="J99" i="8" s="1"/>
  <c r="J141" i="10"/>
  <c r="K129" i="10"/>
  <c r="K133" i="10"/>
  <c r="K128" i="10"/>
  <c r="K134" i="10"/>
  <c r="K132" i="10"/>
  <c r="K137" i="10"/>
  <c r="K127" i="10"/>
  <c r="K138" i="10"/>
  <c r="D66" i="9"/>
  <c r="G66" i="9"/>
  <c r="M116" i="8"/>
  <c r="N61" i="9"/>
  <c r="N62" i="9" s="1"/>
  <c r="I108" i="8"/>
  <c r="H111" i="8"/>
  <c r="H116" i="8" s="1"/>
  <c r="H117" i="8" s="1"/>
  <c r="I103" i="8"/>
  <c r="E100" i="6"/>
  <c r="K98" i="7"/>
  <c r="L117" i="8" l="1"/>
  <c r="N122" i="8" s="1"/>
  <c r="AG70" i="8"/>
  <c r="J108" i="8"/>
  <c r="I111" i="8"/>
  <c r="I106" i="8"/>
  <c r="J103" i="8"/>
  <c r="P5" i="7"/>
  <c r="N92" i="8" l="1"/>
  <c r="J94" i="8"/>
  <c r="I116" i="8"/>
  <c r="J106" i="8"/>
  <c r="J111" i="8"/>
  <c r="M117" i="3"/>
  <c r="M119" i="3" s="1"/>
  <c r="L146" i="3"/>
  <c r="K146" i="3"/>
  <c r="N146" i="3"/>
  <c r="J98" i="8" l="1"/>
  <c r="I117" i="8"/>
  <c r="J116" i="8"/>
  <c r="J5" i="6"/>
  <c r="L6" i="6"/>
  <c r="I6" i="6" s="1"/>
  <c r="L7" i="6"/>
  <c r="I7" i="6" s="1"/>
  <c r="L8" i="6"/>
  <c r="M8" i="6"/>
  <c r="L9" i="6"/>
  <c r="L10" i="6"/>
  <c r="L11" i="6"/>
  <c r="I11" i="6" s="1"/>
  <c r="L12" i="6"/>
  <c r="I12" i="6" s="1"/>
  <c r="L13" i="6"/>
  <c r="I13" i="6" s="1"/>
  <c r="L14" i="6"/>
  <c r="I14" i="6" s="1"/>
  <c r="M15" i="6"/>
  <c r="M16" i="6"/>
  <c r="L17" i="6"/>
  <c r="I17" i="6" s="1"/>
  <c r="L18" i="6"/>
  <c r="I18" i="6" s="1"/>
  <c r="L19" i="6"/>
  <c r="I19" i="6" s="1"/>
  <c r="L20" i="6"/>
  <c r="I20" i="6" s="1"/>
  <c r="L21" i="6"/>
  <c r="I21" i="6" s="1"/>
  <c r="L22" i="6"/>
  <c r="I22" i="6" s="1"/>
  <c r="L23" i="6"/>
  <c r="I23" i="6" s="1"/>
  <c r="L24" i="6"/>
  <c r="O24" i="6" s="1"/>
  <c r="Q24" i="6" s="1"/>
  <c r="L25" i="6"/>
  <c r="I25" i="6" s="1"/>
  <c r="L26" i="6"/>
  <c r="I26" i="6" s="1"/>
  <c r="L27" i="6"/>
  <c r="M27" i="6"/>
  <c r="L28" i="6"/>
  <c r="M28" i="6"/>
  <c r="L29" i="6"/>
  <c r="I29" i="6" s="1"/>
  <c r="L30" i="6"/>
  <c r="I30" i="6" s="1"/>
  <c r="L31" i="6"/>
  <c r="I31" i="6" s="1"/>
  <c r="L32" i="6"/>
  <c r="I32" i="6" s="1"/>
  <c r="L33" i="6"/>
  <c r="I33" i="6" s="1"/>
  <c r="L34" i="6"/>
  <c r="I34" i="6" s="1"/>
  <c r="L35" i="6"/>
  <c r="I35" i="6" s="1"/>
  <c r="L36" i="6"/>
  <c r="I36" i="6" s="1"/>
  <c r="L37" i="6"/>
  <c r="I37" i="6" s="1"/>
  <c r="L38" i="6"/>
  <c r="I38" i="6" s="1"/>
  <c r="L39" i="6"/>
  <c r="I39" i="6" s="1"/>
  <c r="L40" i="6"/>
  <c r="I40" i="6" s="1"/>
  <c r="L41" i="6"/>
  <c r="I41" i="6" s="1"/>
  <c r="L42" i="6"/>
  <c r="I42" i="6" s="1"/>
  <c r="L46" i="6"/>
  <c r="I46" i="6" s="1"/>
  <c r="L47" i="6"/>
  <c r="I47" i="6" s="1"/>
  <c r="L48" i="6"/>
  <c r="I48" i="6" s="1"/>
  <c r="L49" i="6"/>
  <c r="I49" i="6" s="1"/>
  <c r="L50" i="6"/>
  <c r="I50" i="6" s="1"/>
  <c r="L51" i="6"/>
  <c r="I51" i="6" s="1"/>
  <c r="L52" i="6"/>
  <c r="I52" i="6" s="1"/>
  <c r="L53" i="6"/>
  <c r="I53" i="6" s="1"/>
  <c r="L57" i="6"/>
  <c r="I57" i="6" s="1"/>
  <c r="L58" i="6"/>
  <c r="M58" i="6"/>
  <c r="L59" i="6"/>
  <c r="I59" i="6" s="1"/>
  <c r="L60" i="6"/>
  <c r="I60" i="6" s="1"/>
  <c r="L61" i="6"/>
  <c r="I61" i="6" s="1"/>
  <c r="L62" i="6"/>
  <c r="I62" i="6" s="1"/>
  <c r="L63" i="6"/>
  <c r="I63" i="6" s="1"/>
  <c r="L64" i="6"/>
  <c r="I64" i="6" s="1"/>
  <c r="L65" i="6"/>
  <c r="I65" i="6" s="1"/>
  <c r="L66" i="6"/>
  <c r="M66" i="6"/>
  <c r="L67" i="6"/>
  <c r="I67" i="6" s="1"/>
  <c r="L68" i="6"/>
  <c r="I68" i="6" s="1"/>
  <c r="L69" i="6"/>
  <c r="I69" i="6" s="1"/>
  <c r="L70" i="6"/>
  <c r="I70" i="6" s="1"/>
  <c r="L71" i="6"/>
  <c r="M71" i="6"/>
  <c r="L72" i="6"/>
  <c r="M72" i="6"/>
  <c r="L73" i="6"/>
  <c r="M73" i="6"/>
  <c r="L74" i="6"/>
  <c r="M74" i="6"/>
  <c r="L75" i="6"/>
  <c r="I75" i="6" s="1"/>
  <c r="L76" i="6"/>
  <c r="M76" i="6"/>
  <c r="L77" i="6"/>
  <c r="I77" i="6" s="1"/>
  <c r="L78" i="6"/>
  <c r="I78" i="6" s="1"/>
  <c r="L79" i="6"/>
  <c r="I79" i="6" s="1"/>
  <c r="L80" i="6"/>
  <c r="I80" i="6" s="1"/>
  <c r="L81" i="6"/>
  <c r="M81" i="6"/>
  <c r="L82" i="6"/>
  <c r="M82" i="6"/>
  <c r="L83" i="6"/>
  <c r="M83" i="6"/>
  <c r="L84" i="6"/>
  <c r="M84" i="6"/>
  <c r="L85" i="6"/>
  <c r="I85" i="6" s="1"/>
  <c r="L86" i="6"/>
  <c r="I86" i="6" s="1"/>
  <c r="L87" i="6"/>
  <c r="I87" i="6" s="1"/>
  <c r="M89" i="6"/>
  <c r="M90" i="6"/>
  <c r="L93" i="6"/>
  <c r="I93" i="6" s="1"/>
  <c r="L95" i="6"/>
  <c r="I95" i="6" s="1"/>
  <c r="L96" i="6"/>
  <c r="I96" i="6" s="1"/>
  <c r="L5" i="6"/>
  <c r="I5" i="6" s="1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6" i="6"/>
  <c r="H7" i="6"/>
  <c r="H5" i="6"/>
  <c r="J117" i="8" l="1"/>
  <c r="K109" i="8"/>
  <c r="K105" i="8"/>
  <c r="K110" i="8"/>
  <c r="K113" i="8"/>
  <c r="K114" i="8"/>
  <c r="K104" i="8"/>
  <c r="K108" i="8"/>
  <c r="K103" i="8"/>
  <c r="K80" i="6"/>
  <c r="K32" i="6"/>
  <c r="K96" i="6"/>
  <c r="K69" i="6"/>
  <c r="K62" i="6"/>
  <c r="K52" i="6"/>
  <c r="K48" i="6"/>
  <c r="K41" i="6"/>
  <c r="K37" i="6"/>
  <c r="K33" i="6"/>
  <c r="K29" i="6"/>
  <c r="K23" i="6"/>
  <c r="K19" i="6"/>
  <c r="K95" i="6"/>
  <c r="K87" i="6"/>
  <c r="K79" i="6"/>
  <c r="K68" i="6"/>
  <c r="K65" i="6"/>
  <c r="K61" i="6"/>
  <c r="K51" i="6"/>
  <c r="K47" i="6"/>
  <c r="K40" i="6"/>
  <c r="K36" i="6"/>
  <c r="K22" i="6"/>
  <c r="K18" i="6"/>
  <c r="K14" i="6"/>
  <c r="K7" i="6"/>
  <c r="K93" i="6"/>
  <c r="K86" i="6"/>
  <c r="K78" i="6"/>
  <c r="K75" i="6"/>
  <c r="K67" i="6"/>
  <c r="K64" i="6"/>
  <c r="K60" i="6"/>
  <c r="K57" i="6"/>
  <c r="K50" i="6"/>
  <c r="K46" i="6"/>
  <c r="K39" i="6"/>
  <c r="K35" i="6"/>
  <c r="K31" i="6"/>
  <c r="K25" i="6"/>
  <c r="K21" i="6"/>
  <c r="K17" i="6"/>
  <c r="K5" i="6"/>
  <c r="K85" i="6"/>
  <c r="K77" i="6"/>
  <c r="K70" i="6"/>
  <c r="K63" i="6"/>
  <c r="K59" i="6"/>
  <c r="K53" i="6"/>
  <c r="K49" i="6"/>
  <c r="K42" i="6"/>
  <c r="K38" i="6"/>
  <c r="K34" i="6"/>
  <c r="K30" i="6"/>
  <c r="K20" i="6"/>
  <c r="K26" i="6"/>
  <c r="I24" i="6"/>
  <c r="K24" i="6" s="1"/>
  <c r="O7" i="6"/>
  <c r="Q7" i="6" s="1"/>
  <c r="O84" i="6"/>
  <c r="Q84" i="6" s="1"/>
  <c r="O42" i="6"/>
  <c r="Q42" i="6" s="1"/>
  <c r="O34" i="6"/>
  <c r="Q34" i="6" s="1"/>
  <c r="H97" i="6"/>
  <c r="D100" i="6" s="1"/>
  <c r="O87" i="6"/>
  <c r="Q87" i="6" s="1"/>
  <c r="O13" i="6"/>
  <c r="Q13" i="6" s="1"/>
  <c r="O10" i="6"/>
  <c r="Q10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5" i="6"/>
  <c r="E95" i="6"/>
  <c r="E96" i="6"/>
  <c r="E89" i="6"/>
  <c r="E90" i="6"/>
  <c r="E91" i="6"/>
  <c r="E92" i="6"/>
  <c r="E93" i="6"/>
  <c r="E94" i="6"/>
  <c r="E87" i="6"/>
  <c r="E88" i="6"/>
  <c r="E83" i="6"/>
  <c r="E84" i="6"/>
  <c r="E85" i="6"/>
  <c r="E86" i="6"/>
  <c r="E73" i="6"/>
  <c r="E74" i="6"/>
  <c r="E75" i="6"/>
  <c r="E76" i="6"/>
  <c r="E77" i="6"/>
  <c r="E78" i="6"/>
  <c r="E79" i="6"/>
  <c r="E80" i="6"/>
  <c r="E81" i="6"/>
  <c r="E82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55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22" i="6"/>
  <c r="E23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8" i="6"/>
  <c r="E6" i="6"/>
  <c r="E7" i="6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5" i="6"/>
  <c r="C95" i="6"/>
  <c r="C96" i="6"/>
  <c r="C89" i="6"/>
  <c r="C90" i="6"/>
  <c r="C91" i="6"/>
  <c r="C92" i="6"/>
  <c r="C93" i="6"/>
  <c r="C94" i="6"/>
  <c r="C87" i="6"/>
  <c r="C88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5" i="6"/>
  <c r="O88" i="7" l="1"/>
  <c r="P77" i="7" l="1"/>
  <c r="P78" i="7"/>
  <c r="P79" i="7"/>
  <c r="P80" i="7"/>
  <c r="O94" i="7" l="1"/>
  <c r="P96" i="7" l="1"/>
  <c r="P95" i="7"/>
  <c r="M92" i="7" l="1"/>
  <c r="L92" i="6" s="1"/>
  <c r="I92" i="6" s="1"/>
  <c r="K92" i="6" s="1"/>
  <c r="M91" i="7"/>
  <c r="L91" i="6" l="1"/>
  <c r="I91" i="6" s="1"/>
  <c r="K91" i="6" s="1"/>
  <c r="P91" i="7"/>
  <c r="P6" i="7"/>
  <c r="P93" i="7"/>
  <c r="P92" i="7"/>
  <c r="P87" i="7"/>
  <c r="P86" i="7"/>
  <c r="P85" i="7"/>
  <c r="P75" i="7"/>
  <c r="P70" i="7"/>
  <c r="P69" i="7"/>
  <c r="P68" i="7"/>
  <c r="P67" i="7"/>
  <c r="P65" i="7"/>
  <c r="P64" i="7"/>
  <c r="P63" i="7"/>
  <c r="P62" i="7"/>
  <c r="P61" i="7"/>
  <c r="P60" i="7"/>
  <c r="P59" i="7"/>
  <c r="P57" i="7"/>
  <c r="P53" i="7"/>
  <c r="P52" i="7"/>
  <c r="P51" i="7"/>
  <c r="P50" i="7"/>
  <c r="P49" i="7"/>
  <c r="P48" i="7"/>
  <c r="P47" i="7"/>
  <c r="P46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6" i="7"/>
  <c r="P25" i="7"/>
  <c r="P24" i="7"/>
  <c r="P23" i="7"/>
  <c r="P22" i="7"/>
  <c r="P21" i="7"/>
  <c r="P20" i="7"/>
  <c r="P19" i="7"/>
  <c r="P18" i="7"/>
  <c r="P14" i="7"/>
  <c r="P13" i="7"/>
  <c r="P12" i="7"/>
  <c r="P11" i="7"/>
  <c r="P10" i="7"/>
  <c r="P9" i="7"/>
  <c r="P7" i="7"/>
  <c r="R96" i="3" l="1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6" i="3"/>
  <c r="R45" i="3"/>
  <c r="R44" i="3"/>
  <c r="R43" i="3"/>
  <c r="R41" i="3"/>
  <c r="R39" i="3"/>
  <c r="R38" i="3"/>
  <c r="R37" i="3"/>
  <c r="R36" i="3"/>
  <c r="R35" i="3"/>
  <c r="R34" i="3"/>
  <c r="R33" i="3"/>
  <c r="R32" i="3"/>
  <c r="R24" i="3"/>
  <c r="R19" i="3"/>
  <c r="R18" i="3"/>
  <c r="R16" i="3"/>
  <c r="C92" i="5" l="1"/>
  <c r="D92" i="5"/>
  <c r="E92" i="5"/>
  <c r="F92" i="5"/>
  <c r="G92" i="5"/>
  <c r="J92" i="5"/>
  <c r="C93" i="5"/>
  <c r="D93" i="5"/>
  <c r="E93" i="5"/>
  <c r="F93" i="5"/>
  <c r="G93" i="5"/>
  <c r="J93" i="5"/>
  <c r="M93" i="5" l="1"/>
  <c r="O72" i="3"/>
  <c r="R72" i="3" s="1"/>
  <c r="O71" i="3"/>
  <c r="R71" i="3" s="1"/>
  <c r="R13" i="3" l="1"/>
  <c r="R12" i="3"/>
  <c r="R11" i="3"/>
  <c r="R10" i="3"/>
  <c r="Q9" i="3"/>
  <c r="R9" i="3" s="1"/>
  <c r="AE96" i="3" l="1"/>
  <c r="P96" i="3"/>
  <c r="K93" i="5" s="1"/>
  <c r="I93" i="5" s="1"/>
  <c r="H93" i="5" s="1"/>
  <c r="AD95" i="3"/>
  <c r="AE95" i="3" s="1"/>
  <c r="P95" i="3"/>
  <c r="K92" i="5" s="1"/>
  <c r="I92" i="5" s="1"/>
  <c r="H92" i="5" s="1"/>
  <c r="AD98" i="3" l="1"/>
  <c r="P109" i="3" s="1"/>
  <c r="C91" i="5"/>
  <c r="D91" i="5"/>
  <c r="E91" i="5"/>
  <c r="F91" i="5"/>
  <c r="G91" i="5"/>
  <c r="J91" i="5"/>
  <c r="AE94" i="3"/>
  <c r="P94" i="3"/>
  <c r="K91" i="5" l="1"/>
  <c r="I91" i="5" s="1"/>
  <c r="H91" i="5" s="1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73" i="3"/>
  <c r="N134" i="3"/>
  <c r="O134" i="3"/>
  <c r="I134" i="3"/>
  <c r="J134" i="3" l="1"/>
  <c r="K134" i="3" s="1"/>
  <c r="AE73" i="3"/>
  <c r="AE9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73" i="3"/>
  <c r="K70" i="5" s="1"/>
  <c r="I70" i="5" s="1"/>
  <c r="K86" i="5" l="1"/>
  <c r="I86" i="5" s="1"/>
  <c r="H86" i="5" s="1"/>
  <c r="K89" i="5"/>
  <c r="I89" i="5" s="1"/>
  <c r="H89" i="5" s="1"/>
  <c r="K81" i="5"/>
  <c r="I81" i="5" s="1"/>
  <c r="H81" i="5" s="1"/>
  <c r="K73" i="5"/>
  <c r="I73" i="5" s="1"/>
  <c r="H73" i="5" s="1"/>
  <c r="K84" i="5"/>
  <c r="I84" i="5" s="1"/>
  <c r="H84" i="5" s="1"/>
  <c r="K72" i="5"/>
  <c r="I72" i="5" s="1"/>
  <c r="H72" i="5" s="1"/>
  <c r="K82" i="5"/>
  <c r="I82" i="5" s="1"/>
  <c r="H82" i="5" s="1"/>
  <c r="K74" i="5"/>
  <c r="I74" i="5" s="1"/>
  <c r="H74" i="5" s="1"/>
  <c r="K85" i="5"/>
  <c r="I85" i="5" s="1"/>
  <c r="H85" i="5" s="1"/>
  <c r="K77" i="5"/>
  <c r="I77" i="5" s="1"/>
  <c r="H77" i="5" s="1"/>
  <c r="K88" i="5"/>
  <c r="I88" i="5" s="1"/>
  <c r="H88" i="5" s="1"/>
  <c r="K80" i="5"/>
  <c r="I80" i="5" s="1"/>
  <c r="H80" i="5" s="1"/>
  <c r="K76" i="5"/>
  <c r="I76" i="5" s="1"/>
  <c r="H76" i="5" s="1"/>
  <c r="H70" i="5"/>
  <c r="K87" i="5"/>
  <c r="I87" i="5" s="1"/>
  <c r="H87" i="5" s="1"/>
  <c r="K83" i="5"/>
  <c r="I83" i="5" s="1"/>
  <c r="H83" i="5" s="1"/>
  <c r="K79" i="5"/>
  <c r="I79" i="5" s="1"/>
  <c r="H79" i="5" s="1"/>
  <c r="K75" i="5"/>
  <c r="I75" i="5" s="1"/>
  <c r="H75" i="5" s="1"/>
  <c r="K71" i="5"/>
  <c r="I71" i="5" s="1"/>
  <c r="H71" i="5" s="1"/>
  <c r="K78" i="5"/>
  <c r="I78" i="5" s="1"/>
  <c r="H78" i="5" s="1"/>
  <c r="K90" i="5"/>
  <c r="I90" i="5" s="1"/>
  <c r="H90" i="5" s="1"/>
  <c r="I10" i="6" l="1"/>
  <c r="I9" i="6"/>
  <c r="K148" i="7" l="1"/>
  <c r="J148" i="7"/>
  <c r="K147" i="7"/>
  <c r="J147" i="7"/>
  <c r="K146" i="7"/>
  <c r="J146" i="7"/>
  <c r="M138" i="7"/>
  <c r="L138" i="7"/>
  <c r="H138" i="7"/>
  <c r="M137" i="7"/>
  <c r="L137" i="7"/>
  <c r="M134" i="7"/>
  <c r="L134" i="7"/>
  <c r="H134" i="7"/>
  <c r="M133" i="7"/>
  <c r="L133" i="7"/>
  <c r="I133" i="7"/>
  <c r="J133" i="7" s="1"/>
  <c r="H133" i="7"/>
  <c r="M132" i="7"/>
  <c r="L132" i="7"/>
  <c r="M129" i="7"/>
  <c r="L129" i="7"/>
  <c r="I129" i="7"/>
  <c r="J129" i="7" s="1"/>
  <c r="H129" i="7"/>
  <c r="M128" i="7"/>
  <c r="L128" i="7"/>
  <c r="H128" i="7"/>
  <c r="M127" i="7"/>
  <c r="L127" i="7"/>
  <c r="H127" i="7"/>
  <c r="AC98" i="7"/>
  <c r="V98" i="7"/>
  <c r="U98" i="7"/>
  <c r="S98" i="7"/>
  <c r="R98" i="7"/>
  <c r="Q98" i="7"/>
  <c r="AD96" i="7"/>
  <c r="N96" i="7"/>
  <c r="M96" i="6" s="1"/>
  <c r="AB95" i="7"/>
  <c r="AD95" i="7" s="1"/>
  <c r="N95" i="7"/>
  <c r="M95" i="6" s="1"/>
  <c r="M94" i="7"/>
  <c r="AD93" i="7"/>
  <c r="N93" i="7"/>
  <c r="M93" i="6" s="1"/>
  <c r="AA92" i="7"/>
  <c r="AD92" i="7" s="1"/>
  <c r="N92" i="7"/>
  <c r="M92" i="6" s="1"/>
  <c r="AA91" i="7"/>
  <c r="AD91" i="7" s="1"/>
  <c r="N91" i="7"/>
  <c r="M91" i="6" s="1"/>
  <c r="AA90" i="7"/>
  <c r="AD90" i="7" s="1"/>
  <c r="M90" i="7"/>
  <c r="L90" i="6" s="1"/>
  <c r="AA89" i="7"/>
  <c r="AD89" i="7" s="1"/>
  <c r="M89" i="7"/>
  <c r="L89" i="6" s="1"/>
  <c r="AA88" i="7"/>
  <c r="AD88" i="7" s="1"/>
  <c r="M88" i="7"/>
  <c r="AD87" i="7"/>
  <c r="N87" i="7"/>
  <c r="M87" i="6" s="1"/>
  <c r="Z86" i="7"/>
  <c r="AD86" i="7" s="1"/>
  <c r="N86" i="7"/>
  <c r="M86" i="6" s="1"/>
  <c r="Z85" i="7"/>
  <c r="AD85" i="7" s="1"/>
  <c r="N85" i="7"/>
  <c r="M85" i="6" s="1"/>
  <c r="Z84" i="7"/>
  <c r="AD84" i="7" s="1"/>
  <c r="Z83" i="7"/>
  <c r="AD83" i="7" s="1"/>
  <c r="Z82" i="7"/>
  <c r="AD82" i="7" s="1"/>
  <c r="Z81" i="7"/>
  <c r="AD81" i="7" s="1"/>
  <c r="Z80" i="7"/>
  <c r="AD80" i="7" s="1"/>
  <c r="N80" i="7"/>
  <c r="M80" i="6" s="1"/>
  <c r="Z79" i="7"/>
  <c r="AD79" i="7" s="1"/>
  <c r="N79" i="7"/>
  <c r="M79" i="6" s="1"/>
  <c r="Z78" i="7"/>
  <c r="AD78" i="7" s="1"/>
  <c r="N78" i="7"/>
  <c r="M78" i="6" s="1"/>
  <c r="Z77" i="7"/>
  <c r="AD77" i="7" s="1"/>
  <c r="N77" i="7"/>
  <c r="M77" i="6" s="1"/>
  <c r="Z76" i="7"/>
  <c r="AD76" i="7" s="1"/>
  <c r="AB75" i="7"/>
  <c r="AD75" i="7" s="1"/>
  <c r="N75" i="7"/>
  <c r="M75" i="6" s="1"/>
  <c r="Z74" i="7"/>
  <c r="AD74" i="7" s="1"/>
  <c r="Z73" i="7"/>
  <c r="AD73" i="7" s="1"/>
  <c r="Z72" i="7"/>
  <c r="AD72" i="7" s="1"/>
  <c r="Z71" i="7"/>
  <c r="AD71" i="7" s="1"/>
  <c r="AB70" i="7"/>
  <c r="AD70" i="7" s="1"/>
  <c r="N70" i="7"/>
  <c r="M70" i="6" s="1"/>
  <c r="AB69" i="7"/>
  <c r="AD69" i="7" s="1"/>
  <c r="N69" i="7"/>
  <c r="M69" i="6" s="1"/>
  <c r="AB68" i="7"/>
  <c r="AD68" i="7" s="1"/>
  <c r="N68" i="7"/>
  <c r="M68" i="6" s="1"/>
  <c r="AB67" i="7"/>
  <c r="AD67" i="7" s="1"/>
  <c r="N67" i="7"/>
  <c r="M67" i="6" s="1"/>
  <c r="Y66" i="7"/>
  <c r="AD66" i="7" s="1"/>
  <c r="Y65" i="7"/>
  <c r="AD65" i="7" s="1"/>
  <c r="N65" i="7"/>
  <c r="M65" i="6" s="1"/>
  <c r="Y64" i="7"/>
  <c r="AD64" i="7" s="1"/>
  <c r="N64" i="7"/>
  <c r="M64" i="6" s="1"/>
  <c r="Y63" i="7"/>
  <c r="AD63" i="7" s="1"/>
  <c r="N63" i="7"/>
  <c r="M63" i="6" s="1"/>
  <c r="AB62" i="7"/>
  <c r="AD62" i="7" s="1"/>
  <c r="N62" i="7"/>
  <c r="M62" i="6" s="1"/>
  <c r="AB61" i="7"/>
  <c r="AD61" i="7" s="1"/>
  <c r="N61" i="7"/>
  <c r="M61" i="6" s="1"/>
  <c r="AB60" i="7"/>
  <c r="AD60" i="7" s="1"/>
  <c r="N60" i="7"/>
  <c r="M60" i="6" s="1"/>
  <c r="AD59" i="7"/>
  <c r="N59" i="7"/>
  <c r="M59" i="6" s="1"/>
  <c r="AD58" i="7"/>
  <c r="Y57" i="7"/>
  <c r="AD57" i="7" s="1"/>
  <c r="N57" i="7"/>
  <c r="M57" i="6" s="1"/>
  <c r="M56" i="7"/>
  <c r="M55" i="7"/>
  <c r="M54" i="7"/>
  <c r="AD53" i="7"/>
  <c r="N53" i="7"/>
  <c r="M53" i="6" s="1"/>
  <c r="AD52" i="7"/>
  <c r="N52" i="7"/>
  <c r="M52" i="6" s="1"/>
  <c r="Y51" i="7"/>
  <c r="AD51" i="7" s="1"/>
  <c r="N51" i="7"/>
  <c r="M51" i="6" s="1"/>
  <c r="Y50" i="7"/>
  <c r="Y49" i="7"/>
  <c r="Y48" i="7"/>
  <c r="Y47" i="7"/>
  <c r="AD46" i="7"/>
  <c r="N46" i="7"/>
  <c r="M46" i="6" s="1"/>
  <c r="M45" i="7"/>
  <c r="M44" i="7"/>
  <c r="M43" i="7"/>
  <c r="X43" i="7" s="1"/>
  <c r="AD42" i="7"/>
  <c r="N42" i="7"/>
  <c r="M42" i="6" s="1"/>
  <c r="AD41" i="7"/>
  <c r="N41" i="7"/>
  <c r="M41" i="6" s="1"/>
  <c r="W40" i="7"/>
  <c r="AD40" i="7" s="1"/>
  <c r="N40" i="7"/>
  <c r="M40" i="6" s="1"/>
  <c r="W39" i="7"/>
  <c r="AD39" i="7" s="1"/>
  <c r="N39" i="7"/>
  <c r="M39" i="6" s="1"/>
  <c r="W38" i="7"/>
  <c r="AD38" i="7" s="1"/>
  <c r="N38" i="7"/>
  <c r="M38" i="6" s="1"/>
  <c r="AD37" i="7"/>
  <c r="N37" i="7"/>
  <c r="M37" i="6" s="1"/>
  <c r="AD36" i="7"/>
  <c r="N36" i="7"/>
  <c r="M36" i="6" s="1"/>
  <c r="AD35" i="7"/>
  <c r="N35" i="7"/>
  <c r="M35" i="6" s="1"/>
  <c r="AD34" i="7"/>
  <c r="N34" i="7"/>
  <c r="M34" i="6" s="1"/>
  <c r="AD33" i="7"/>
  <c r="N33" i="7"/>
  <c r="M33" i="6" s="1"/>
  <c r="AD32" i="7"/>
  <c r="N32" i="7"/>
  <c r="M32" i="6" s="1"/>
  <c r="AD31" i="7"/>
  <c r="N31" i="7"/>
  <c r="M31" i="6" s="1"/>
  <c r="AD30" i="7"/>
  <c r="N30" i="7"/>
  <c r="M30" i="6" s="1"/>
  <c r="W29" i="7"/>
  <c r="N29" i="7"/>
  <c r="M29" i="6" s="1"/>
  <c r="AD28" i="7"/>
  <c r="AD27" i="7"/>
  <c r="AD26" i="7"/>
  <c r="N26" i="7"/>
  <c r="M26" i="6" s="1"/>
  <c r="AD25" i="7"/>
  <c r="N25" i="7"/>
  <c r="M25" i="6" s="1"/>
  <c r="AD24" i="7"/>
  <c r="N24" i="7"/>
  <c r="M24" i="6" s="1"/>
  <c r="AD23" i="7"/>
  <c r="N23" i="7"/>
  <c r="M23" i="6" s="1"/>
  <c r="AD22" i="7"/>
  <c r="N22" i="7"/>
  <c r="M22" i="6" s="1"/>
  <c r="AD21" i="7"/>
  <c r="N21" i="7"/>
  <c r="M21" i="6" s="1"/>
  <c r="AD20" i="7"/>
  <c r="N20" i="7"/>
  <c r="M20" i="6" s="1"/>
  <c r="AD19" i="7"/>
  <c r="N19" i="7"/>
  <c r="M19" i="6" s="1"/>
  <c r="AD18" i="7"/>
  <c r="N18" i="7"/>
  <c r="M18" i="6" s="1"/>
  <c r="AD17" i="7"/>
  <c r="N17" i="7"/>
  <c r="M17" i="6" s="1"/>
  <c r="M16" i="7"/>
  <c r="M15" i="7"/>
  <c r="T14" i="7"/>
  <c r="N14" i="7"/>
  <c r="M14" i="6" s="1"/>
  <c r="AD13" i="7"/>
  <c r="N13" i="7"/>
  <c r="M13" i="6" s="1"/>
  <c r="AD12" i="7"/>
  <c r="N12" i="7"/>
  <c r="M12" i="6" s="1"/>
  <c r="AD11" i="7"/>
  <c r="N11" i="7"/>
  <c r="M11" i="6" s="1"/>
  <c r="AD10" i="7"/>
  <c r="N10" i="7"/>
  <c r="M10" i="6" s="1"/>
  <c r="J10" i="6" s="1"/>
  <c r="AD9" i="7"/>
  <c r="N9" i="7"/>
  <c r="M9" i="6" s="1"/>
  <c r="J9" i="6" s="1"/>
  <c r="AD8" i="7"/>
  <c r="AD7" i="7"/>
  <c r="N7" i="7"/>
  <c r="M7" i="6" s="1"/>
  <c r="AD6" i="7"/>
  <c r="N6" i="7"/>
  <c r="M6" i="6" s="1"/>
  <c r="AD5" i="7"/>
  <c r="N5" i="7"/>
  <c r="M5" i="6" s="1"/>
  <c r="T16" i="7" l="1"/>
  <c r="AD16" i="7" s="1"/>
  <c r="L16" i="6"/>
  <c r="X55" i="7"/>
  <c r="AD55" i="7" s="1"/>
  <c r="L55" i="6"/>
  <c r="I55" i="6" s="1"/>
  <c r="K55" i="6" s="1"/>
  <c r="P55" i="7"/>
  <c r="N44" i="7"/>
  <c r="M44" i="6" s="1"/>
  <c r="L44" i="6"/>
  <c r="I44" i="6" s="1"/>
  <c r="K44" i="6" s="1"/>
  <c r="P44" i="7"/>
  <c r="X56" i="7"/>
  <c r="AD56" i="7" s="1"/>
  <c r="L56" i="6"/>
  <c r="I56" i="6" s="1"/>
  <c r="K56" i="6" s="1"/>
  <c r="P56" i="7"/>
  <c r="N88" i="7"/>
  <c r="M88" i="6" s="1"/>
  <c r="L88" i="6"/>
  <c r="P88" i="7"/>
  <c r="AB94" i="7"/>
  <c r="L94" i="6"/>
  <c r="P94" i="7"/>
  <c r="X45" i="7"/>
  <c r="AD45" i="7" s="1"/>
  <c r="L45" i="6"/>
  <c r="I45" i="6" s="1"/>
  <c r="K45" i="6" s="1"/>
  <c r="P45" i="7"/>
  <c r="T15" i="7"/>
  <c r="AD15" i="7" s="1"/>
  <c r="L15" i="6"/>
  <c r="M98" i="7"/>
  <c r="N43" i="7"/>
  <c r="M43" i="6" s="1"/>
  <c r="L43" i="6"/>
  <c r="I43" i="6" s="1"/>
  <c r="P43" i="7"/>
  <c r="X54" i="7"/>
  <c r="AD54" i="7" s="1"/>
  <c r="L54" i="6"/>
  <c r="I54" i="6" s="1"/>
  <c r="K54" i="6" s="1"/>
  <c r="P54" i="7"/>
  <c r="X44" i="7"/>
  <c r="AD44" i="7" s="1"/>
  <c r="L139" i="7"/>
  <c r="L130" i="7"/>
  <c r="M135" i="7"/>
  <c r="H130" i="7"/>
  <c r="L147" i="7"/>
  <c r="L146" i="7"/>
  <c r="J117" i="7"/>
  <c r="J119" i="7" s="1"/>
  <c r="I128" i="7"/>
  <c r="J128" i="7" s="1"/>
  <c r="I134" i="7"/>
  <c r="J134" i="7" s="1"/>
  <c r="M130" i="7"/>
  <c r="L135" i="7"/>
  <c r="N54" i="7"/>
  <c r="M54" i="6" s="1"/>
  <c r="N56" i="7"/>
  <c r="M56" i="6" s="1"/>
  <c r="I137" i="7"/>
  <c r="J137" i="7" s="1"/>
  <c r="W98" i="7"/>
  <c r="N45" i="7"/>
  <c r="M45" i="6" s="1"/>
  <c r="K117" i="7"/>
  <c r="K119" i="7" s="1"/>
  <c r="K112" i="7"/>
  <c r="K121" i="7" s="1"/>
  <c r="AD29" i="7"/>
  <c r="H132" i="7"/>
  <c r="H135" i="7" s="1"/>
  <c r="N55" i="7"/>
  <c r="M55" i="6" s="1"/>
  <c r="I127" i="7"/>
  <c r="J127" i="7" s="1"/>
  <c r="M139" i="7"/>
  <c r="L148" i="7"/>
  <c r="Y98" i="7"/>
  <c r="AD94" i="7"/>
  <c r="M110" i="7"/>
  <c r="I138" i="7"/>
  <c r="AA47" i="7"/>
  <c r="N49" i="7"/>
  <c r="M49" i="6" s="1"/>
  <c r="AA50" i="7"/>
  <c r="K116" i="7"/>
  <c r="K118" i="7" s="1"/>
  <c r="H137" i="7"/>
  <c r="H139" i="7" s="1"/>
  <c r="AD14" i="7"/>
  <c r="AD43" i="7"/>
  <c r="N47" i="7"/>
  <c r="M47" i="6" s="1"/>
  <c r="N48" i="7"/>
  <c r="M48" i="6" s="1"/>
  <c r="AA48" i="7"/>
  <c r="AA49" i="7"/>
  <c r="N50" i="7"/>
  <c r="M50" i="6" s="1"/>
  <c r="N94" i="7"/>
  <c r="M94" i="6" s="1"/>
  <c r="X47" i="7"/>
  <c r="AB47" i="7"/>
  <c r="X48" i="7"/>
  <c r="AB48" i="7"/>
  <c r="X49" i="7"/>
  <c r="AB49" i="7"/>
  <c r="X50" i="7"/>
  <c r="AB50" i="7"/>
  <c r="T98" i="7"/>
  <c r="Z47" i="7"/>
  <c r="Z48" i="7"/>
  <c r="Z49" i="7"/>
  <c r="Z50" i="7"/>
  <c r="K43" i="6" l="1"/>
  <c r="O96" i="6"/>
  <c r="Q96" i="6" s="1"/>
  <c r="I94" i="6"/>
  <c r="K94" i="6" s="1"/>
  <c r="O93" i="6"/>
  <c r="Q93" i="6" s="1"/>
  <c r="I88" i="6"/>
  <c r="K88" i="6" s="1"/>
  <c r="L97" i="6"/>
  <c r="F100" i="6" s="1"/>
  <c r="O23" i="6"/>
  <c r="Q23" i="6" s="1"/>
  <c r="O58" i="6"/>
  <c r="Q58" i="6" s="1"/>
  <c r="L140" i="7"/>
  <c r="K123" i="7" s="1"/>
  <c r="M140" i="7"/>
  <c r="I132" i="7"/>
  <c r="J132" i="7" s="1"/>
  <c r="J135" i="7" s="1"/>
  <c r="I130" i="7"/>
  <c r="AD47" i="7"/>
  <c r="H140" i="7"/>
  <c r="H141" i="7" s="1"/>
  <c r="Z98" i="7"/>
  <c r="AD50" i="7"/>
  <c r="AD48" i="7"/>
  <c r="X98" i="7"/>
  <c r="AB98" i="7"/>
  <c r="J130" i="7"/>
  <c r="AA98" i="7"/>
  <c r="I139" i="7"/>
  <c r="J138" i="7"/>
  <c r="AD49" i="7"/>
  <c r="I97" i="6" l="1"/>
  <c r="Q97" i="6"/>
  <c r="H100" i="6" s="1"/>
  <c r="L141" i="7"/>
  <c r="J116" i="7"/>
  <c r="J118" i="7" s="1"/>
  <c r="I135" i="7"/>
  <c r="I140" i="7" s="1"/>
  <c r="AD98" i="7"/>
  <c r="K113" i="7" s="1"/>
  <c r="J139" i="7"/>
  <c r="J140" i="7" s="1"/>
  <c r="AE98" i="7" l="1"/>
  <c r="K133" i="7"/>
  <c r="K129" i="7"/>
  <c r="K137" i="7"/>
  <c r="K128" i="7"/>
  <c r="K134" i="7"/>
  <c r="K132" i="7"/>
  <c r="K127" i="7"/>
  <c r="K122" i="7"/>
  <c r="J141" i="7" s="1"/>
  <c r="I141" i="7"/>
  <c r="K138" i="7"/>
  <c r="H21" i="5" l="1"/>
  <c r="C68" i="5" l="1"/>
  <c r="D68" i="5"/>
  <c r="E68" i="5"/>
  <c r="F68" i="5"/>
  <c r="G68" i="5"/>
  <c r="C69" i="5"/>
  <c r="D69" i="5"/>
  <c r="E69" i="5"/>
  <c r="F69" i="5"/>
  <c r="G69" i="5"/>
  <c r="J69" i="5"/>
  <c r="P72" i="3" l="1"/>
  <c r="AC72" i="3"/>
  <c r="AE72" i="3" s="1"/>
  <c r="AC71" i="3"/>
  <c r="AE71" i="3" s="1"/>
  <c r="P71" i="3"/>
  <c r="K69" i="5"/>
  <c r="I69" i="5" s="1"/>
  <c r="H69" i="5" s="1"/>
  <c r="J68" i="5"/>
  <c r="M91" i="5" s="1"/>
  <c r="O91" i="5" s="1"/>
  <c r="Y93" i="6"/>
  <c r="AA93" i="6" s="1"/>
  <c r="O93" i="5"/>
  <c r="J67" i="5"/>
  <c r="G67" i="5"/>
  <c r="F67" i="5"/>
  <c r="E67" i="5"/>
  <c r="D67" i="5"/>
  <c r="C67" i="5"/>
  <c r="J66" i="5"/>
  <c r="G66" i="5"/>
  <c r="F66" i="5"/>
  <c r="E66" i="5"/>
  <c r="D66" i="5"/>
  <c r="C66" i="5"/>
  <c r="J65" i="5"/>
  <c r="G65" i="5"/>
  <c r="F65" i="5"/>
  <c r="E65" i="5"/>
  <c r="D65" i="5"/>
  <c r="C65" i="5"/>
  <c r="J64" i="5"/>
  <c r="G64" i="5"/>
  <c r="F64" i="5"/>
  <c r="E64" i="5"/>
  <c r="D64" i="5"/>
  <c r="C64" i="5"/>
  <c r="J63" i="5"/>
  <c r="G63" i="5"/>
  <c r="F63" i="5"/>
  <c r="E63" i="5"/>
  <c r="D63" i="5"/>
  <c r="C63" i="5"/>
  <c r="J62" i="5"/>
  <c r="G62" i="5"/>
  <c r="F62" i="5"/>
  <c r="E62" i="5"/>
  <c r="D62" i="5"/>
  <c r="C62" i="5"/>
  <c r="J61" i="5"/>
  <c r="G61" i="5"/>
  <c r="F61" i="5"/>
  <c r="E61" i="5"/>
  <c r="D61" i="5"/>
  <c r="C61" i="5"/>
  <c r="J60" i="5"/>
  <c r="G60" i="5"/>
  <c r="F60" i="5"/>
  <c r="E60" i="5"/>
  <c r="D60" i="5"/>
  <c r="C60" i="5"/>
  <c r="J59" i="5"/>
  <c r="G59" i="5"/>
  <c r="F59" i="5"/>
  <c r="E59" i="5"/>
  <c r="D59" i="5"/>
  <c r="C59" i="5"/>
  <c r="J58" i="5"/>
  <c r="G58" i="5"/>
  <c r="F58" i="5"/>
  <c r="E58" i="5"/>
  <c r="D58" i="5"/>
  <c r="C58" i="5"/>
  <c r="J57" i="5"/>
  <c r="G57" i="5"/>
  <c r="F57" i="5"/>
  <c r="E57" i="5"/>
  <c r="D57" i="5"/>
  <c r="C57" i="5"/>
  <c r="J56" i="5"/>
  <c r="G56" i="5"/>
  <c r="F56" i="5"/>
  <c r="E56" i="5"/>
  <c r="D56" i="5"/>
  <c r="C56" i="5"/>
  <c r="J55" i="5"/>
  <c r="G55" i="5"/>
  <c r="F55" i="5"/>
  <c r="E55" i="5"/>
  <c r="D55" i="5"/>
  <c r="C55" i="5"/>
  <c r="J54" i="5"/>
  <c r="G54" i="5"/>
  <c r="F54" i="5"/>
  <c r="E54" i="5"/>
  <c r="D54" i="5"/>
  <c r="C54" i="5"/>
  <c r="J53" i="5"/>
  <c r="G53" i="5"/>
  <c r="F53" i="5"/>
  <c r="E53" i="5"/>
  <c r="D53" i="5"/>
  <c r="C53" i="5"/>
  <c r="J52" i="5"/>
  <c r="G52" i="5"/>
  <c r="F52" i="5"/>
  <c r="E52" i="5"/>
  <c r="D52" i="5"/>
  <c r="C52" i="5"/>
  <c r="J51" i="5"/>
  <c r="G51" i="5"/>
  <c r="F51" i="5"/>
  <c r="E51" i="5"/>
  <c r="D51" i="5"/>
  <c r="C51" i="5"/>
  <c r="J50" i="5"/>
  <c r="G50" i="5"/>
  <c r="F50" i="5"/>
  <c r="E50" i="5"/>
  <c r="D50" i="5"/>
  <c r="C50" i="5"/>
  <c r="J49" i="5"/>
  <c r="G49" i="5"/>
  <c r="F49" i="5"/>
  <c r="E49" i="5"/>
  <c r="D49" i="5"/>
  <c r="C49" i="5"/>
  <c r="J48" i="5"/>
  <c r="G48" i="5"/>
  <c r="F48" i="5"/>
  <c r="E48" i="5"/>
  <c r="D48" i="5"/>
  <c r="C48" i="5"/>
  <c r="G47" i="5"/>
  <c r="F47" i="5"/>
  <c r="E47" i="5"/>
  <c r="D47" i="5"/>
  <c r="C47" i="5"/>
  <c r="J46" i="5"/>
  <c r="G46" i="5"/>
  <c r="F46" i="5"/>
  <c r="E46" i="5"/>
  <c r="D46" i="5"/>
  <c r="C46" i="5"/>
  <c r="J45" i="5"/>
  <c r="G45" i="5"/>
  <c r="F45" i="5"/>
  <c r="E45" i="5"/>
  <c r="D45" i="5"/>
  <c r="C45" i="5"/>
  <c r="G44" i="5"/>
  <c r="F44" i="5"/>
  <c r="E44" i="5"/>
  <c r="D44" i="5"/>
  <c r="C44" i="5"/>
  <c r="J43" i="5"/>
  <c r="G43" i="5"/>
  <c r="F43" i="5"/>
  <c r="E43" i="5"/>
  <c r="D43" i="5"/>
  <c r="C43" i="5"/>
  <c r="J42" i="5"/>
  <c r="G42" i="5"/>
  <c r="F42" i="5"/>
  <c r="E42" i="5"/>
  <c r="D42" i="5"/>
  <c r="C42" i="5"/>
  <c r="J41" i="5"/>
  <c r="G41" i="5"/>
  <c r="F41" i="5"/>
  <c r="E41" i="5"/>
  <c r="D41" i="5"/>
  <c r="C41" i="5"/>
  <c r="J40" i="5"/>
  <c r="G40" i="5"/>
  <c r="F40" i="5"/>
  <c r="E40" i="5"/>
  <c r="D40" i="5"/>
  <c r="C40" i="5"/>
  <c r="J39" i="5"/>
  <c r="G39" i="5"/>
  <c r="H39" i="5" s="1"/>
  <c r="F39" i="5"/>
  <c r="E39" i="5"/>
  <c r="D39" i="5"/>
  <c r="C39" i="5"/>
  <c r="J38" i="5"/>
  <c r="G38" i="5"/>
  <c r="F38" i="5"/>
  <c r="E38" i="5"/>
  <c r="D38" i="5"/>
  <c r="C38" i="5"/>
  <c r="G37" i="5"/>
  <c r="F37" i="5"/>
  <c r="E37" i="5"/>
  <c r="D37" i="5"/>
  <c r="C37" i="5"/>
  <c r="J36" i="5"/>
  <c r="G36" i="5"/>
  <c r="F36" i="5"/>
  <c r="E36" i="5"/>
  <c r="D36" i="5"/>
  <c r="C36" i="5"/>
  <c r="J35" i="5"/>
  <c r="G35" i="5"/>
  <c r="F35" i="5"/>
  <c r="E35" i="5"/>
  <c r="D35" i="5"/>
  <c r="C35" i="5"/>
  <c r="J34" i="5"/>
  <c r="G34" i="5"/>
  <c r="F34" i="5"/>
  <c r="E34" i="5"/>
  <c r="D34" i="5"/>
  <c r="C34" i="5"/>
  <c r="J33" i="5"/>
  <c r="G33" i="5"/>
  <c r="F33" i="5"/>
  <c r="E33" i="5"/>
  <c r="D33" i="5"/>
  <c r="C33" i="5"/>
  <c r="J32" i="5"/>
  <c r="G32" i="5"/>
  <c r="F32" i="5"/>
  <c r="E32" i="5"/>
  <c r="D32" i="5"/>
  <c r="C32" i="5"/>
  <c r="J31" i="5"/>
  <c r="G31" i="5"/>
  <c r="F31" i="5"/>
  <c r="E31" i="5"/>
  <c r="D31" i="5"/>
  <c r="C31" i="5"/>
  <c r="J30" i="5"/>
  <c r="G30" i="5"/>
  <c r="F30" i="5"/>
  <c r="E30" i="5"/>
  <c r="D30" i="5"/>
  <c r="C30" i="5"/>
  <c r="J29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M21" i="5"/>
  <c r="O21" i="5" s="1"/>
  <c r="J20" i="5"/>
  <c r="G20" i="5"/>
  <c r="H20" i="5" s="1"/>
  <c r="F20" i="5"/>
  <c r="E20" i="5"/>
  <c r="D20" i="5"/>
  <c r="C20" i="5"/>
  <c r="G19" i="5"/>
  <c r="H19" i="5" s="1"/>
  <c r="F19" i="5"/>
  <c r="E19" i="5"/>
  <c r="D19" i="5"/>
  <c r="C19" i="5"/>
  <c r="G18" i="5"/>
  <c r="H18" i="5" s="1"/>
  <c r="F18" i="5"/>
  <c r="E18" i="5"/>
  <c r="D18" i="5"/>
  <c r="C18" i="5"/>
  <c r="G17" i="5"/>
  <c r="H17" i="5" s="1"/>
  <c r="F17" i="5"/>
  <c r="E17" i="5"/>
  <c r="D17" i="5"/>
  <c r="C17" i="5"/>
  <c r="G16" i="5"/>
  <c r="H16" i="5" s="1"/>
  <c r="F16" i="5"/>
  <c r="E16" i="5"/>
  <c r="D16" i="5"/>
  <c r="C16" i="5"/>
  <c r="J15" i="5"/>
  <c r="G15" i="5"/>
  <c r="H15" i="5" s="1"/>
  <c r="F15" i="5"/>
  <c r="E15" i="5"/>
  <c r="D15" i="5"/>
  <c r="C15" i="5"/>
  <c r="J14" i="5"/>
  <c r="G14" i="5"/>
  <c r="H14" i="5" s="1"/>
  <c r="F14" i="5"/>
  <c r="E14" i="5"/>
  <c r="D14" i="5"/>
  <c r="C14" i="5"/>
  <c r="K13" i="5"/>
  <c r="J13" i="5"/>
  <c r="G13" i="5"/>
  <c r="H13" i="5" s="1"/>
  <c r="F13" i="5"/>
  <c r="E13" i="5"/>
  <c r="D13" i="5"/>
  <c r="C13" i="5"/>
  <c r="K12" i="5"/>
  <c r="J12" i="5"/>
  <c r="G12" i="5"/>
  <c r="H12" i="5" s="1"/>
  <c r="F12" i="5"/>
  <c r="E12" i="5"/>
  <c r="D12" i="5"/>
  <c r="C12" i="5"/>
  <c r="J11" i="5"/>
  <c r="G11" i="5"/>
  <c r="H11" i="5" s="1"/>
  <c r="F11" i="5"/>
  <c r="E11" i="5"/>
  <c r="D11" i="5"/>
  <c r="C11" i="5"/>
  <c r="J10" i="5"/>
  <c r="G10" i="5"/>
  <c r="H10" i="5" s="1"/>
  <c r="F10" i="5"/>
  <c r="E10" i="5"/>
  <c r="D10" i="5"/>
  <c r="C10" i="5"/>
  <c r="J9" i="5"/>
  <c r="G9" i="5"/>
  <c r="H9" i="5" s="1"/>
  <c r="F9" i="5"/>
  <c r="E9" i="5"/>
  <c r="D9" i="5"/>
  <c r="C9" i="5"/>
  <c r="J8" i="5"/>
  <c r="G8" i="5"/>
  <c r="H8" i="5" s="1"/>
  <c r="F8" i="5"/>
  <c r="E8" i="5"/>
  <c r="D8" i="5"/>
  <c r="C8" i="5"/>
  <c r="J7" i="5"/>
  <c r="G7" i="5"/>
  <c r="H7" i="5" s="1"/>
  <c r="F7" i="5"/>
  <c r="E7" i="5"/>
  <c r="D7" i="5"/>
  <c r="C7" i="5"/>
  <c r="J6" i="5"/>
  <c r="G6" i="5"/>
  <c r="H6" i="5" s="1"/>
  <c r="F6" i="5"/>
  <c r="E6" i="5"/>
  <c r="D6" i="5"/>
  <c r="C6" i="5"/>
  <c r="J5" i="5"/>
  <c r="G5" i="5"/>
  <c r="F5" i="5"/>
  <c r="E5" i="5"/>
  <c r="D5" i="5"/>
  <c r="C5" i="5"/>
  <c r="K148" i="3"/>
  <c r="L148" i="3" s="1"/>
  <c r="N148" i="3" s="1"/>
  <c r="K147" i="3"/>
  <c r="L147" i="3" s="1"/>
  <c r="N147" i="3" s="1"/>
  <c r="O138" i="3"/>
  <c r="N138" i="3"/>
  <c r="I138" i="3"/>
  <c r="O137" i="3"/>
  <c r="N137" i="3"/>
  <c r="J137" i="3"/>
  <c r="K137" i="3" s="1"/>
  <c r="I137" i="3"/>
  <c r="O133" i="3"/>
  <c r="N133" i="3"/>
  <c r="I133" i="3"/>
  <c r="O132" i="3"/>
  <c r="N132" i="3"/>
  <c r="O129" i="3"/>
  <c r="N129" i="3"/>
  <c r="J129" i="3"/>
  <c r="K129" i="3" s="1"/>
  <c r="I129" i="3"/>
  <c r="O128" i="3"/>
  <c r="N128" i="3"/>
  <c r="I128" i="3"/>
  <c r="O127" i="3"/>
  <c r="N127" i="3"/>
  <c r="AB98" i="3"/>
  <c r="V98" i="3"/>
  <c r="M98" i="3"/>
  <c r="AA70" i="3"/>
  <c r="AE70" i="3" s="1"/>
  <c r="P70" i="3"/>
  <c r="AA69" i="3"/>
  <c r="AE69" i="3" s="1"/>
  <c r="P69" i="3"/>
  <c r="AA68" i="3"/>
  <c r="AE68" i="3" s="1"/>
  <c r="P68" i="3"/>
  <c r="AA67" i="3"/>
  <c r="AE67" i="3" s="1"/>
  <c r="P67" i="3"/>
  <c r="AA66" i="3"/>
  <c r="AE66" i="3" s="1"/>
  <c r="P66" i="3"/>
  <c r="AA65" i="3"/>
  <c r="AE65" i="3" s="1"/>
  <c r="P65" i="3"/>
  <c r="AA64" i="3"/>
  <c r="AE64" i="3" s="1"/>
  <c r="P64" i="3"/>
  <c r="AA63" i="3"/>
  <c r="AE63" i="3" s="1"/>
  <c r="P63" i="3"/>
  <c r="AA62" i="3"/>
  <c r="AE62" i="3" s="1"/>
  <c r="P62" i="3"/>
  <c r="AA61" i="3"/>
  <c r="AE61" i="3" s="1"/>
  <c r="P61" i="3"/>
  <c r="AA60" i="3"/>
  <c r="AE60" i="3" s="1"/>
  <c r="P60" i="3"/>
  <c r="AA59" i="3"/>
  <c r="AE59" i="3" s="1"/>
  <c r="P59" i="3"/>
  <c r="AA58" i="3"/>
  <c r="AE58" i="3" s="1"/>
  <c r="P58" i="3"/>
  <c r="AA57" i="3"/>
  <c r="AE57" i="3" s="1"/>
  <c r="P57" i="3"/>
  <c r="AA56" i="3"/>
  <c r="AE56" i="3" s="1"/>
  <c r="P56" i="3"/>
  <c r="AE55" i="3"/>
  <c r="P55" i="3"/>
  <c r="Z54" i="3"/>
  <c r="Z98" i="3" s="1"/>
  <c r="P54" i="3"/>
  <c r="AE53" i="3"/>
  <c r="P53" i="3"/>
  <c r="AE52" i="3"/>
  <c r="P52" i="3"/>
  <c r="AE51" i="3"/>
  <c r="P51" i="3"/>
  <c r="Y50" i="3"/>
  <c r="AE50" i="3" s="1"/>
  <c r="O50" i="3"/>
  <c r="AE49" i="3"/>
  <c r="P49" i="3"/>
  <c r="AE48" i="3"/>
  <c r="P48" i="3"/>
  <c r="Y47" i="3"/>
  <c r="AE47" i="3" s="1"/>
  <c r="O47" i="3"/>
  <c r="Y46" i="3"/>
  <c r="AE46" i="3" s="1"/>
  <c r="P46" i="3"/>
  <c r="Y45" i="3"/>
  <c r="AE45" i="3" s="1"/>
  <c r="P45" i="3"/>
  <c r="AE44" i="3"/>
  <c r="P44" i="3"/>
  <c r="X43" i="3"/>
  <c r="AE43" i="3" s="1"/>
  <c r="P43" i="3"/>
  <c r="AE42" i="3"/>
  <c r="P42" i="3"/>
  <c r="K39" i="5" s="1"/>
  <c r="AE41" i="3"/>
  <c r="P41" i="3"/>
  <c r="O40" i="3"/>
  <c r="X39" i="3"/>
  <c r="AE39" i="3" s="1"/>
  <c r="P39" i="3"/>
  <c r="X38" i="3"/>
  <c r="AE38" i="3" s="1"/>
  <c r="P38" i="3"/>
  <c r="X37" i="3"/>
  <c r="P37" i="3"/>
  <c r="X36" i="3"/>
  <c r="AE36" i="3" s="1"/>
  <c r="P36" i="3"/>
  <c r="AE35" i="3"/>
  <c r="P35" i="3"/>
  <c r="AE34" i="3"/>
  <c r="P34" i="3"/>
  <c r="AE33" i="3"/>
  <c r="P33" i="3"/>
  <c r="AE32" i="3"/>
  <c r="P32" i="3"/>
  <c r="O31" i="3"/>
  <c r="O30" i="3"/>
  <c r="O29" i="3"/>
  <c r="O28" i="3"/>
  <c r="O27" i="3"/>
  <c r="O26" i="3"/>
  <c r="O25" i="3"/>
  <c r="AE24" i="3"/>
  <c r="P24" i="3"/>
  <c r="AE23" i="3"/>
  <c r="O23" i="3"/>
  <c r="O22" i="3"/>
  <c r="O21" i="3"/>
  <c r="O20" i="3"/>
  <c r="S19" i="3"/>
  <c r="AE19" i="3" s="1"/>
  <c r="P19" i="3"/>
  <c r="AE18" i="3"/>
  <c r="P18" i="3"/>
  <c r="AE17" i="3"/>
  <c r="AE16" i="3"/>
  <c r="S15" i="3"/>
  <c r="AE15" i="3" s="1"/>
  <c r="P15" i="3"/>
  <c r="K11" i="5" s="1"/>
  <c r="S14" i="3"/>
  <c r="AE14" i="3" s="1"/>
  <c r="P14" i="3"/>
  <c r="K10" i="5" s="1"/>
  <c r="S13" i="3"/>
  <c r="AE13" i="3" s="1"/>
  <c r="P13" i="3"/>
  <c r="S12" i="3"/>
  <c r="AE12" i="3" s="1"/>
  <c r="P12" i="3"/>
  <c r="S11" i="3"/>
  <c r="AE11" i="3" s="1"/>
  <c r="P11" i="3"/>
  <c r="S10" i="3"/>
  <c r="AE10" i="3" s="1"/>
  <c r="P10" i="3"/>
  <c r="S9" i="3"/>
  <c r="J138" i="3" s="1"/>
  <c r="K138" i="3" s="1"/>
  <c r="P9" i="3"/>
  <c r="M15" i="5" l="1"/>
  <c r="M52" i="5"/>
  <c r="M67" i="5"/>
  <c r="O67" i="5" s="1"/>
  <c r="I139" i="3"/>
  <c r="M116" i="3"/>
  <c r="M118" i="3" s="1"/>
  <c r="O135" i="3"/>
  <c r="J133" i="3"/>
  <c r="K133" i="3" s="1"/>
  <c r="J16" i="5"/>
  <c r="R20" i="3"/>
  <c r="J22" i="5"/>
  <c r="R25" i="3"/>
  <c r="J26" i="5"/>
  <c r="R29" i="3"/>
  <c r="P47" i="3"/>
  <c r="K44" i="5" s="1"/>
  <c r="I44" i="5" s="1"/>
  <c r="H44" i="5" s="1"/>
  <c r="R47" i="3"/>
  <c r="J17" i="5"/>
  <c r="R21" i="3"/>
  <c r="J23" i="5"/>
  <c r="R26" i="3"/>
  <c r="W30" i="3"/>
  <c r="AE30" i="3" s="1"/>
  <c r="R30" i="3"/>
  <c r="J18" i="5"/>
  <c r="R22" i="3"/>
  <c r="J24" i="5"/>
  <c r="R27" i="3"/>
  <c r="W31" i="3"/>
  <c r="AE31" i="3" s="1"/>
  <c r="R31" i="3"/>
  <c r="P50" i="3"/>
  <c r="K47" i="5" s="1"/>
  <c r="I47" i="5" s="1"/>
  <c r="H47" i="5" s="1"/>
  <c r="R50" i="3"/>
  <c r="J19" i="5"/>
  <c r="R23" i="3"/>
  <c r="P28" i="3"/>
  <c r="K25" i="5" s="1"/>
  <c r="I25" i="5" s="1"/>
  <c r="H25" i="5" s="1"/>
  <c r="R28" i="3"/>
  <c r="P40" i="3"/>
  <c r="K37" i="5" s="1"/>
  <c r="I37" i="5" s="1"/>
  <c r="H37" i="5" s="1"/>
  <c r="R40" i="3"/>
  <c r="N135" i="3"/>
  <c r="G95" i="5"/>
  <c r="D98" i="5" s="1"/>
  <c r="D65" i="9" s="1"/>
  <c r="K6" i="5"/>
  <c r="K8" i="5"/>
  <c r="K41" i="5"/>
  <c r="I41" i="5" s="1"/>
  <c r="H41" i="5" s="1"/>
  <c r="K43" i="5"/>
  <c r="I43" i="5" s="1"/>
  <c r="H43" i="5" s="1"/>
  <c r="K45" i="5"/>
  <c r="I45" i="5" s="1"/>
  <c r="H45" i="5" s="1"/>
  <c r="K49" i="5"/>
  <c r="I49" i="5" s="1"/>
  <c r="H49" i="5" s="1"/>
  <c r="K51" i="5"/>
  <c r="I51" i="5" s="1"/>
  <c r="H51" i="5" s="1"/>
  <c r="K53" i="5"/>
  <c r="I53" i="5" s="1"/>
  <c r="H53" i="5" s="1"/>
  <c r="K55" i="5"/>
  <c r="I55" i="5" s="1"/>
  <c r="H55" i="5" s="1"/>
  <c r="K57" i="5"/>
  <c r="I57" i="5" s="1"/>
  <c r="H57" i="5" s="1"/>
  <c r="K59" i="5"/>
  <c r="I59" i="5" s="1"/>
  <c r="H59" i="5" s="1"/>
  <c r="K61" i="5"/>
  <c r="I61" i="5" s="1"/>
  <c r="H61" i="5" s="1"/>
  <c r="K63" i="5"/>
  <c r="I63" i="5" s="1"/>
  <c r="H63" i="5" s="1"/>
  <c r="K65" i="5"/>
  <c r="I65" i="5" s="1"/>
  <c r="H65" i="5" s="1"/>
  <c r="K67" i="5"/>
  <c r="I67" i="5" s="1"/>
  <c r="H67" i="5" s="1"/>
  <c r="K30" i="5"/>
  <c r="I30" i="5" s="1"/>
  <c r="H30" i="5" s="1"/>
  <c r="K32" i="5"/>
  <c r="I32" i="5" s="1"/>
  <c r="K34" i="5"/>
  <c r="I34" i="5" s="1"/>
  <c r="H34" i="5" s="1"/>
  <c r="K36" i="5"/>
  <c r="I36" i="5" s="1"/>
  <c r="H36" i="5" s="1"/>
  <c r="K29" i="5"/>
  <c r="I29" i="5" s="1"/>
  <c r="H29" i="5" s="1"/>
  <c r="K31" i="5"/>
  <c r="I31" i="5" s="1"/>
  <c r="H31" i="5" s="1"/>
  <c r="K33" i="5"/>
  <c r="I33" i="5" s="1"/>
  <c r="H33" i="5" s="1"/>
  <c r="K35" i="5"/>
  <c r="I35" i="5" s="1"/>
  <c r="H35" i="5" s="1"/>
  <c r="K5" i="5"/>
  <c r="K7" i="5"/>
  <c r="K9" i="5"/>
  <c r="K38" i="5"/>
  <c r="I38" i="5" s="1"/>
  <c r="H38" i="5" s="1"/>
  <c r="K40" i="5"/>
  <c r="I40" i="5" s="1"/>
  <c r="H40" i="5" s="1"/>
  <c r="K42" i="5"/>
  <c r="I42" i="5" s="1"/>
  <c r="H42" i="5" s="1"/>
  <c r="K46" i="5"/>
  <c r="I46" i="5" s="1"/>
  <c r="H46" i="5" s="1"/>
  <c r="K48" i="5"/>
  <c r="I48" i="5" s="1"/>
  <c r="H48" i="5" s="1"/>
  <c r="K50" i="5"/>
  <c r="I50" i="5" s="1"/>
  <c r="H50" i="5" s="1"/>
  <c r="K52" i="5"/>
  <c r="I52" i="5" s="1"/>
  <c r="H52" i="5" s="1"/>
  <c r="K54" i="5"/>
  <c r="I54" i="5" s="1"/>
  <c r="H54" i="5" s="1"/>
  <c r="K56" i="5"/>
  <c r="I56" i="5" s="1"/>
  <c r="H56" i="5" s="1"/>
  <c r="K58" i="5"/>
  <c r="I58" i="5" s="1"/>
  <c r="H58" i="5" s="1"/>
  <c r="K60" i="5"/>
  <c r="I60" i="5" s="1"/>
  <c r="H60" i="5" s="1"/>
  <c r="K62" i="5"/>
  <c r="I62" i="5" s="1"/>
  <c r="H62" i="5" s="1"/>
  <c r="K64" i="5"/>
  <c r="I64" i="5" s="1"/>
  <c r="H64" i="5" s="1"/>
  <c r="K66" i="5"/>
  <c r="I66" i="5" s="1"/>
  <c r="H66" i="5" s="1"/>
  <c r="AC98" i="3"/>
  <c r="O146" i="3"/>
  <c r="P27" i="3"/>
  <c r="W29" i="3"/>
  <c r="AE29" i="3" s="1"/>
  <c r="P22" i="3"/>
  <c r="K18" i="5" s="1"/>
  <c r="W27" i="3"/>
  <c r="AE27" i="3" s="1"/>
  <c r="U22" i="3"/>
  <c r="AE22" i="3" s="1"/>
  <c r="W26" i="3"/>
  <c r="AE26" i="3" s="1"/>
  <c r="T20" i="3"/>
  <c r="T98" i="3" s="1"/>
  <c r="P26" i="3"/>
  <c r="W28" i="3"/>
  <c r="AE28" i="3" s="1"/>
  <c r="I127" i="3"/>
  <c r="I130" i="3" s="1"/>
  <c r="J25" i="5"/>
  <c r="U21" i="3"/>
  <c r="AE21" i="3" s="1"/>
  <c r="X40" i="3"/>
  <c r="AE40" i="3" s="1"/>
  <c r="K14" i="5"/>
  <c r="K15" i="5"/>
  <c r="J37" i="5"/>
  <c r="M42" i="5" s="1"/>
  <c r="AA98" i="3"/>
  <c r="N130" i="3"/>
  <c r="O130" i="3"/>
  <c r="K117" i="3"/>
  <c r="K119" i="3" s="1"/>
  <c r="O139" i="3"/>
  <c r="J28" i="5"/>
  <c r="J44" i="5"/>
  <c r="K20" i="5"/>
  <c r="J128" i="3"/>
  <c r="K128" i="3" s="1"/>
  <c r="P20" i="3"/>
  <c r="P30" i="3"/>
  <c r="H32" i="5"/>
  <c r="AE37" i="3"/>
  <c r="Y98" i="3"/>
  <c r="J27" i="5"/>
  <c r="J47" i="5"/>
  <c r="I132" i="3"/>
  <c r="I135" i="3" s="1"/>
  <c r="P23" i="3"/>
  <c r="P25" i="3"/>
  <c r="AE54" i="3"/>
  <c r="O98" i="3"/>
  <c r="W25" i="3"/>
  <c r="AE25" i="3" s="1"/>
  <c r="P31" i="3"/>
  <c r="P21" i="3"/>
  <c r="P29" i="3"/>
  <c r="K68" i="5"/>
  <c r="I68" i="5" s="1"/>
  <c r="H68" i="5" s="1"/>
  <c r="S98" i="3"/>
  <c r="AE9" i="3"/>
  <c r="Y92" i="6"/>
  <c r="AA92" i="6" s="1"/>
  <c r="H5" i="5"/>
  <c r="O52" i="5"/>
  <c r="N139" i="3"/>
  <c r="K139" i="3"/>
  <c r="J139" i="3"/>
  <c r="O147" i="3"/>
  <c r="O148" i="3"/>
  <c r="M48" i="5" l="1"/>
  <c r="O48" i="5" s="1"/>
  <c r="M20" i="5"/>
  <c r="M16" i="5"/>
  <c r="O16" i="5" s="1"/>
  <c r="O42" i="5"/>
  <c r="M30" i="5"/>
  <c r="O20" i="5"/>
  <c r="M112" i="3"/>
  <c r="O117" i="3" s="1"/>
  <c r="J127" i="3"/>
  <c r="K127" i="3" s="1"/>
  <c r="K130" i="3" s="1"/>
  <c r="H97" i="5"/>
  <c r="O15" i="5"/>
  <c r="N140" i="3"/>
  <c r="AE20" i="3"/>
  <c r="K116" i="3" s="1"/>
  <c r="K118" i="3" s="1"/>
  <c r="U98" i="3"/>
  <c r="K28" i="5"/>
  <c r="I28" i="5" s="1"/>
  <c r="H28" i="5" s="1"/>
  <c r="K22" i="5"/>
  <c r="I22" i="5" s="1"/>
  <c r="K26" i="5"/>
  <c r="I26" i="5" s="1"/>
  <c r="H26" i="5" s="1"/>
  <c r="K27" i="5"/>
  <c r="I27" i="5" s="1"/>
  <c r="H27" i="5" s="1"/>
  <c r="K23" i="5"/>
  <c r="I23" i="5" s="1"/>
  <c r="H23" i="5" s="1"/>
  <c r="K24" i="5"/>
  <c r="I24" i="5" s="1"/>
  <c r="H24" i="5" s="1"/>
  <c r="X98" i="3"/>
  <c r="O30" i="5"/>
  <c r="W98" i="3"/>
  <c r="J132" i="3"/>
  <c r="K132" i="3" s="1"/>
  <c r="K135" i="3" s="1"/>
  <c r="O140" i="3"/>
  <c r="N141" i="3" s="1"/>
  <c r="I140" i="3"/>
  <c r="J95" i="5"/>
  <c r="G98" i="5" s="1"/>
  <c r="G65" i="9" s="1"/>
  <c r="K17" i="5"/>
  <c r="K16" i="5"/>
  <c r="K19" i="5"/>
  <c r="P98" i="3"/>
  <c r="O97" i="6"/>
  <c r="H22" i="5" l="1"/>
  <c r="H95" i="5" s="1"/>
  <c r="E98" i="5" s="1"/>
  <c r="E65" i="9" s="1"/>
  <c r="I95" i="5"/>
  <c r="F98" i="5" s="1"/>
  <c r="F65" i="9" s="1"/>
  <c r="O94" i="5"/>
  <c r="H98" i="5" s="1"/>
  <c r="H65" i="9" s="1"/>
  <c r="L121" i="3"/>
  <c r="I141" i="3"/>
  <c r="J130" i="3"/>
  <c r="L123" i="3"/>
  <c r="M94" i="5"/>
  <c r="M95" i="5" s="1"/>
  <c r="AE98" i="3"/>
  <c r="J135" i="3"/>
  <c r="P146" i="3"/>
  <c r="K140" i="3"/>
  <c r="L134" i="3" s="1"/>
  <c r="M113" i="3" l="1"/>
  <c r="L122" i="3" s="1"/>
  <c r="K141" i="3" s="1"/>
  <c r="J140" i="3"/>
  <c r="AF98" i="3"/>
  <c r="L129" i="3"/>
  <c r="L127" i="3"/>
  <c r="L133" i="3"/>
  <c r="L132" i="3"/>
  <c r="L138" i="3"/>
  <c r="L128" i="3"/>
  <c r="L137" i="3"/>
  <c r="D97" i="5"/>
  <c r="O98" i="6"/>
  <c r="G97" i="5"/>
  <c r="K6" i="6"/>
  <c r="K12" i="6"/>
  <c r="E97" i="5"/>
  <c r="K13" i="6"/>
  <c r="K11" i="6"/>
  <c r="J141" i="3" l="1"/>
  <c r="O116" i="3"/>
  <c r="I5" i="9" l="1"/>
  <c r="I62" i="9" s="1"/>
  <c r="F66" i="9" s="1"/>
  <c r="H62" i="9"/>
  <c r="E66" i="9" s="1"/>
</calcChain>
</file>

<file path=xl/comments1.xml><?xml version="1.0" encoding="utf-8"?>
<comments xmlns="http://schemas.openxmlformats.org/spreadsheetml/2006/main">
  <authors>
    <author>Autor</author>
  </authors>
  <commentList>
    <comment ref="R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TODA LA OPERACIÓN EMI - SE DEFINE CON PRECIO PRICING ABRIL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RENTABILIDAD ANTICIPADA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RENTABILIDAD ANTICIPADA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RENTABILIDAD ANTICIPADA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TOMA COMO PRECIO DE VTA UNIDAD BLUE DE CTDO HOY + EFECT ENTREGADO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RENTABILIDAD ANTICIPADA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M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 equivalente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DOLARES - CAMBIO CONSIDERADO $120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DOLARES - CAMBIO CONSIDERADO $130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USD  BILLETE CBIO 127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USD  BILLETE CBIO 127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USD  BILLETE CBIO 127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USD  BILLETE CBIO 127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VENTA EN DÓLAR BILLETE - CAMBIO TESORERIA $123</t>
        </r>
      </text>
    </comment>
    <comment ref="X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ENTREGA DOLARES A 125,50 Y EUROS TOMADOS A 135 + $700.000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VTA DÓLAR BILLETE - CBIO TESORERIA 160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I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VENDEDOR TOMADO DE AMBITO INFORMAL HISTORICO 04-06-2020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VENDEDOR TOMADO DE AMBITO INFORMAL HISTORICO 04-06-2020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VENDEDOR TOMADO DE AMBITO INFORMAL HISTORICO 19-06-2020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 VENDEDOR TOMADO DE AMBITO INFORMAL HISTORICO 01-07-2020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 VENDEDOR TOMADO DE AMBITO INFORMAL HISTORICO 31-07-2020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EQUIV DÓLAR SEGÚN CBIO AMBITO MARZO 2020 - YA QUE SE TOMA VALOR PRICING MARZO PARA CERRAR LA OPERACION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 VENDEDOR TOMADO DE AMBITO INFORMAL HISTORICO 28-08-2020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 VENDEDOR TOMADO DE AMBITO INFORMAL HISTORICO 28-08-2020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DÓLAR  VENDEDOR TOMADO DE AMBITO INFORMAL HISTORICO 25-09-2020 - $145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M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INGRESA EFEC - EL IMPORTE DEL ALQUILER DE PROMO SE IMPUTA COMO ANTICIPO - SALDO PAGA HASTA AGO 2020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$967440,72 - CHEQUES VTO SEPT - DIF EFECT</t>
        </r>
      </text>
    </comment>
    <comment ref="O7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 MOMENTO DE LA VTA NO HABIA PRICING PARA TOMAR VALORES DE REFERENCIA  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 EQUIV - LA SUP TOTAL ES DE 67M2</t>
        </r>
      </text>
    </comment>
    <comment ref="AA8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ENTREGA EN TOTAL USD 100.000 X DPTO+COCH
</t>
        </r>
      </text>
    </comment>
    <comment ref="AA9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PAGA USD </t>
        </r>
      </text>
    </comment>
    <comment ref="AA9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PAGA USD
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M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INGRESA EFEC - EL IMPORTE DEL ALQUILER DE PROMO SE IMPUTA COMO ANTICIPO - SALDO PAGA HASTA AGO 2020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$967440,72 - CHEQUES VTO SEPT - DIF EFECT</t>
        </r>
      </text>
    </comment>
    <comment ref="O7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 MOMENTO DE LA VTA NO HABIA PRICING PARA TOMAR VALORES DE REFERENCIA  </t>
        </r>
      </text>
    </comment>
    <comment ref="K8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SUP EQUIV - LA SUP TOTAL ES DE 67M2</t>
        </r>
      </text>
    </comment>
    <comment ref="AA8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ENTREGA EN TOTAL USD 100.000 X DPTO+COCH
</t>
        </r>
      </text>
    </comment>
    <comment ref="AA9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PAGA USD </t>
        </r>
      </text>
    </comment>
    <comment ref="AA9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PAGA USD
</t>
        </r>
      </text>
    </comment>
  </commentList>
</comments>
</file>

<file path=xl/sharedStrings.xml><?xml version="1.0" encoding="utf-8"?>
<sst xmlns="http://schemas.openxmlformats.org/spreadsheetml/2006/main" count="3094" uniqueCount="487">
  <si>
    <t>NOMBRE</t>
  </si>
  <si>
    <t>PROYECTO</t>
  </si>
  <si>
    <t>ASIGNACION</t>
  </si>
  <si>
    <t>TOTAL</t>
  </si>
  <si>
    <t>BLUE</t>
  </si>
  <si>
    <t>ENERO</t>
  </si>
  <si>
    <t>ZOE</t>
  </si>
  <si>
    <t>ENTREGADO</t>
  </si>
  <si>
    <t>GREEN</t>
  </si>
  <si>
    <t>RED</t>
  </si>
  <si>
    <t>FEBRERO</t>
  </si>
  <si>
    <t>MARZO</t>
  </si>
  <si>
    <t>ABRIL</t>
  </si>
  <si>
    <t>VITTALIA</t>
  </si>
  <si>
    <t>ARGIA</t>
  </si>
  <si>
    <t>MAYO</t>
  </si>
  <si>
    <t>Unidades</t>
  </si>
  <si>
    <t>TOTAL PP</t>
  </si>
  <si>
    <t>Total</t>
  </si>
  <si>
    <t>Recibido</t>
  </si>
  <si>
    <t>Prom Mensual</t>
  </si>
  <si>
    <t>Caja</t>
  </si>
  <si>
    <t>SUBTOTAL</t>
  </si>
  <si>
    <t xml:space="preserve">TOTAL </t>
  </si>
  <si>
    <t>JUNIO</t>
  </si>
  <si>
    <t>CONTROL</t>
  </si>
  <si>
    <t>Nº MES</t>
  </si>
  <si>
    <t>METROS</t>
  </si>
  <si>
    <t>OBSERVACIONES</t>
  </si>
  <si>
    <t>JULIO</t>
  </si>
  <si>
    <t>AGOSTO</t>
  </si>
  <si>
    <t>SEPTIEMBRE</t>
  </si>
  <si>
    <t>cocheras</t>
  </si>
  <si>
    <t>OCTUBRE</t>
  </si>
  <si>
    <t>NOVIEMBRE</t>
  </si>
  <si>
    <t>DICIEMBRE</t>
  </si>
  <si>
    <t>$ X M2</t>
  </si>
  <si>
    <t>Fecha</t>
  </si>
  <si>
    <t xml:space="preserve"> </t>
  </si>
  <si>
    <t xml:space="preserve">A ENTREGAR </t>
  </si>
  <si>
    <t>Prom ING Mensual</t>
  </si>
  <si>
    <t>PROM MENSUAL ING EFECTIVO</t>
  </si>
  <si>
    <t xml:space="preserve">TOTAL INGRESOS EFECTIVO </t>
  </si>
  <si>
    <t>SI</t>
  </si>
  <si>
    <t xml:space="preserve">ISAURA </t>
  </si>
  <si>
    <t xml:space="preserve">JULIO </t>
  </si>
  <si>
    <t xml:space="preserve">MAYO </t>
  </si>
  <si>
    <t xml:space="preserve">MARZO </t>
  </si>
  <si>
    <t xml:space="preserve">FEBRERO </t>
  </si>
  <si>
    <t xml:space="preserve">ENERO </t>
  </si>
  <si>
    <t xml:space="preserve">EQUIV M3 Hº </t>
  </si>
  <si>
    <t xml:space="preserve">VALOR M3 </t>
  </si>
  <si>
    <t xml:space="preserve">PESOS </t>
  </si>
  <si>
    <t xml:space="preserve">VENTAS EN M3 Hº </t>
  </si>
  <si>
    <t>DEPARTAMENTO</t>
  </si>
  <si>
    <t>COCHERA</t>
  </si>
  <si>
    <t xml:space="preserve">TOTAL DE INGRESOS </t>
  </si>
  <si>
    <t>PRECIO DE VENTA</t>
  </si>
  <si>
    <t>PROM MENSUAL PRECIO DE VENTA</t>
  </si>
  <si>
    <t>PAGA DE CONTADO - CAMBIO USD 67 - CAMBIO EUROS 71</t>
  </si>
  <si>
    <t>CANJE</t>
  </si>
  <si>
    <t xml:space="preserve">INFORMACION ADICIONAL </t>
  </si>
  <si>
    <t>COMISION</t>
  </si>
  <si>
    <t>MEDIO DE CONTACTO</t>
  </si>
  <si>
    <t>COMERCIAL</t>
  </si>
  <si>
    <t>FECHA</t>
  </si>
  <si>
    <t>DPTO</t>
  </si>
  <si>
    <t>MES</t>
  </si>
  <si>
    <t xml:space="preserve">VENTA </t>
  </si>
  <si>
    <t>PROM MENSUAL UNID VENDIDAS S/COCH</t>
  </si>
  <si>
    <t>SP</t>
  </si>
  <si>
    <t xml:space="preserve">INVERSOR </t>
  </si>
  <si>
    <t>PESA</t>
  </si>
  <si>
    <t>11ºC</t>
  </si>
  <si>
    <t>14ºD</t>
  </si>
  <si>
    <t>14ºE</t>
  </si>
  <si>
    <t>14ºF</t>
  </si>
  <si>
    <t>14ºH</t>
  </si>
  <si>
    <t>OPERACIÓN DE CONTADO ENTREGA USD Y CHEQUES</t>
  </si>
  <si>
    <t>IC</t>
  </si>
  <si>
    <t>INSTAGRAM</t>
  </si>
  <si>
    <t>MEDINA SANDRA</t>
  </si>
  <si>
    <t>11ºB</t>
  </si>
  <si>
    <t>SALDO EN 48+ENTEGA+46</t>
  </si>
  <si>
    <t>COCH 5</t>
  </si>
  <si>
    <t>RECOMENDACIÓN</t>
  </si>
  <si>
    <t>SFAELLO</t>
  </si>
  <si>
    <t>4ºE</t>
  </si>
  <si>
    <t>SALDO EN 48+46</t>
  </si>
  <si>
    <t>SALDO EN 49 CUOTAS</t>
  </si>
  <si>
    <t>EXTERNO</t>
  </si>
  <si>
    <t>RODRIGUEZ REY LUCIANO</t>
  </si>
  <si>
    <t>1°E</t>
  </si>
  <si>
    <t>OPERACIÓN DE CONTADO ENTREGA USD CAMBIO 77</t>
  </si>
  <si>
    <t xml:space="preserve">CASTELLANI </t>
  </si>
  <si>
    <t>11ºH</t>
  </si>
  <si>
    <t>CANJE MATERIALES - SE ENTREGA DPTO + CHEQUES</t>
  </si>
  <si>
    <t>MRR</t>
  </si>
  <si>
    <t>11°E</t>
  </si>
  <si>
    <t>OPERACIÓN CTO ENTRGA USD CAMBIO $77,50</t>
  </si>
  <si>
    <t>OPERACIÓN CTO ENTRGA USD CAMBIO $77,51</t>
  </si>
  <si>
    <t>RODRIGUEZ REY MARIANA</t>
  </si>
  <si>
    <t>9°E</t>
  </si>
  <si>
    <t>CASTILLO MERILES KARINA</t>
  </si>
  <si>
    <t>12°E</t>
  </si>
  <si>
    <t>PBD</t>
  </si>
  <si>
    <t>OPERACIÓN CTO ENTRGA USD CAMBIO $78,5</t>
  </si>
  <si>
    <t xml:space="preserve">SALDO EN 93 CUOTAS </t>
  </si>
  <si>
    <t>RODRIGUEZ REY JUAN MANUEL</t>
  </si>
  <si>
    <t>M2 EN USD</t>
  </si>
  <si>
    <t>NO</t>
  </si>
  <si>
    <t>FALU RICARDO</t>
  </si>
  <si>
    <t>16ºE</t>
  </si>
  <si>
    <t>17ºE</t>
  </si>
  <si>
    <t>OPERACIÓN CTO ENTRGA USD CAMBIO $120</t>
  </si>
  <si>
    <t>WALTER SPINDLER</t>
  </si>
  <si>
    <t>12ºG</t>
  </si>
  <si>
    <t>OPERACIÓN CTO ENTRGA USD CAMBIO $127</t>
  </si>
  <si>
    <t>OPERACIÓN CTO ENTRGA USD CAMBIO $130</t>
  </si>
  <si>
    <t>MARTINEZ MARCELO</t>
  </si>
  <si>
    <t>6°D</t>
  </si>
  <si>
    <t>6°E</t>
  </si>
  <si>
    <t>11°D</t>
  </si>
  <si>
    <t xml:space="preserve">13°D </t>
  </si>
  <si>
    <t>PROMEDIO MENSUAL DPTOS</t>
  </si>
  <si>
    <t>PROMEDIO MENSUAL COCH</t>
  </si>
  <si>
    <t xml:space="preserve">CARIGNANO RAUL JUAN </t>
  </si>
  <si>
    <t>TOMISC SERGIO</t>
  </si>
  <si>
    <t>3ºD</t>
  </si>
  <si>
    <t>4ºD</t>
  </si>
  <si>
    <t>FINANCIA SALDO EN 12 CUOTAS</t>
  </si>
  <si>
    <t>Dpto</t>
  </si>
  <si>
    <t>HADDAD</t>
  </si>
  <si>
    <t>LINK</t>
  </si>
  <si>
    <t>ALPRE</t>
  </si>
  <si>
    <t>ROSSI</t>
  </si>
  <si>
    <t>SALIM</t>
  </si>
  <si>
    <t>BALMORI</t>
  </si>
  <si>
    <t>SPINDLER</t>
  </si>
  <si>
    <t>PERONDI</t>
  </si>
  <si>
    <t>FALSARESI</t>
  </si>
  <si>
    <t>3° PLANTA</t>
  </si>
  <si>
    <t>TIVANO</t>
  </si>
  <si>
    <t>15° B</t>
  </si>
  <si>
    <t>OCHOA</t>
  </si>
  <si>
    <t>4° E</t>
  </si>
  <si>
    <t>LISCHINSKY</t>
  </si>
  <si>
    <t>6° B</t>
  </si>
  <si>
    <t>KEPES</t>
  </si>
  <si>
    <t>RASGUIDO</t>
  </si>
  <si>
    <t xml:space="preserve">ABRIL </t>
  </si>
  <si>
    <t>SEITA</t>
  </si>
  <si>
    <t>TENSOLITE</t>
  </si>
  <si>
    <t>SUSTAITA</t>
  </si>
  <si>
    <t>11ºA</t>
  </si>
  <si>
    <t>GETTAR</t>
  </si>
  <si>
    <t xml:space="preserve">BALLESPIN </t>
  </si>
  <si>
    <t>9ºC</t>
  </si>
  <si>
    <t>RODRIGUEZ</t>
  </si>
  <si>
    <t>11º B</t>
  </si>
  <si>
    <t>12º B</t>
  </si>
  <si>
    <t>13º B</t>
  </si>
  <si>
    <t>15º D</t>
  </si>
  <si>
    <t>15º E</t>
  </si>
  <si>
    <t>9ºD</t>
  </si>
  <si>
    <t xml:space="preserve">NARDI </t>
  </si>
  <si>
    <t>13ºE</t>
  </si>
  <si>
    <t>CASTELLANI</t>
  </si>
  <si>
    <t>CARRIZO DEGLEE</t>
  </si>
  <si>
    <t>4º D</t>
  </si>
  <si>
    <t>MULER</t>
  </si>
  <si>
    <t>2º D</t>
  </si>
  <si>
    <t>2º B</t>
  </si>
  <si>
    <t>3º B</t>
  </si>
  <si>
    <t>OSATINSKY</t>
  </si>
  <si>
    <t>1º A</t>
  </si>
  <si>
    <t>YUBRIN</t>
  </si>
  <si>
    <t>1ºE</t>
  </si>
  <si>
    <t>2ºE</t>
  </si>
  <si>
    <t>2ºA</t>
  </si>
  <si>
    <t>3ºA</t>
  </si>
  <si>
    <t>OÑATE</t>
  </si>
  <si>
    <t>5ºD</t>
  </si>
  <si>
    <t xml:space="preserve">GUTIERREZ </t>
  </si>
  <si>
    <t>5ºB</t>
  </si>
  <si>
    <t>7ºD</t>
  </si>
  <si>
    <t>FALU/MINA</t>
  </si>
  <si>
    <t>15ºG</t>
  </si>
  <si>
    <t>16ºG</t>
  </si>
  <si>
    <t>17ºF</t>
  </si>
  <si>
    <t xml:space="preserve">RIVAS </t>
  </si>
  <si>
    <t xml:space="preserve">9ºE </t>
  </si>
  <si>
    <t xml:space="preserve">JULIAN </t>
  </si>
  <si>
    <t xml:space="preserve">FORMOSO </t>
  </si>
  <si>
    <t>8ºD</t>
  </si>
  <si>
    <t>10ºD</t>
  </si>
  <si>
    <t>LIX KLETT FEDERICO</t>
  </si>
  <si>
    <t>10ºA</t>
  </si>
  <si>
    <t xml:space="preserve">HOLGADO </t>
  </si>
  <si>
    <t>6ºH</t>
  </si>
  <si>
    <t>6ºE</t>
  </si>
  <si>
    <t xml:space="preserve">TENSOLITE </t>
  </si>
  <si>
    <t>10ºE</t>
  </si>
  <si>
    <t>11ºE</t>
  </si>
  <si>
    <t>12ºE</t>
  </si>
  <si>
    <t>11ºD</t>
  </si>
  <si>
    <t>12ºC</t>
  </si>
  <si>
    <t>12ºD</t>
  </si>
  <si>
    <t>OCT</t>
  </si>
  <si>
    <t xml:space="preserve">MATIAS TREJO </t>
  </si>
  <si>
    <t>PBºD</t>
  </si>
  <si>
    <t>JEMIO</t>
  </si>
  <si>
    <t>14ºG</t>
  </si>
  <si>
    <t>CHINETTI</t>
  </si>
  <si>
    <t>9ºF</t>
  </si>
  <si>
    <t xml:space="preserve">RAJMIEL - ARANA </t>
  </si>
  <si>
    <t>11º FRENTE</t>
  </si>
  <si>
    <t xml:space="preserve">LAMBERTI- VALDEZ </t>
  </si>
  <si>
    <t>6ºD</t>
  </si>
  <si>
    <t xml:space="preserve">BERCOVICH </t>
  </si>
  <si>
    <t>PADILLA</t>
  </si>
  <si>
    <t>12ºFRENTE</t>
  </si>
  <si>
    <t>ROMERO / PARRAVICINI</t>
  </si>
  <si>
    <t xml:space="preserve">ANTICIPO + SALDO EN 60 CUOTAS </t>
  </si>
  <si>
    <t>BUSCETTO</t>
  </si>
  <si>
    <t>12ºF</t>
  </si>
  <si>
    <t>10°D</t>
  </si>
  <si>
    <t>12°D</t>
  </si>
  <si>
    <t>13°D</t>
  </si>
  <si>
    <t>CUDMANI GERMAN</t>
  </si>
  <si>
    <t xml:space="preserve">ANTICIPO JUNIO - CANCELA JULIO SALDO +24% INT ANUAL </t>
  </si>
  <si>
    <t xml:space="preserve">HURTADO VALERIA </t>
  </si>
  <si>
    <t>OPERACIÓN CTO ENTRGA USD CAMBIO $123</t>
  </si>
  <si>
    <t>ROJANO</t>
  </si>
  <si>
    <t xml:space="preserve">SALDO EN 16 CUOTAS </t>
  </si>
  <si>
    <t>EH</t>
  </si>
  <si>
    <t>COCH 11</t>
  </si>
  <si>
    <t xml:space="preserve">CÁRDENAS MARTA </t>
  </si>
  <si>
    <t>ENTREGA DOLARES 125,50 Y EUROS 135 P/ ANTICIPO - SALDO EN CUOTAS</t>
  </si>
  <si>
    <t>ENTREGA EFECT+ CHEQUES VTO DIC 2020 C/ INT 25%</t>
  </si>
  <si>
    <t xml:space="preserve">MARTINEZ HYNES </t>
  </si>
  <si>
    <t xml:space="preserve">SALDO EN 75 CUOTAS </t>
  </si>
  <si>
    <t>VIRGILIO</t>
  </si>
  <si>
    <t>7°C</t>
  </si>
  <si>
    <t>SALDO EN UNA CUOTA A PAGAR EN JULIO</t>
  </si>
  <si>
    <t>METTOLA AGOSTINA</t>
  </si>
  <si>
    <t>METTOLA ALVARO</t>
  </si>
  <si>
    <t>7ºH</t>
  </si>
  <si>
    <t>TRF EL IMPORTE DE BOLETO Y EFECT IMPORTE SHAJOR</t>
  </si>
  <si>
    <t>LEIVA NESTOR</t>
  </si>
  <si>
    <t>8ºH</t>
  </si>
  <si>
    <t>ANTICIPO USD 12 DÓLAR BILLETE + 7350 CANJE HON PH - SALDO 26 CTAS</t>
  </si>
  <si>
    <t>NASCA LEONELA</t>
  </si>
  <si>
    <t>1ºF</t>
  </si>
  <si>
    <t>ANTICIPO EN DOLARES Y PESOS + SALDO EN 44 CTAS</t>
  </si>
  <si>
    <t>MOLINA GABRIEL</t>
  </si>
  <si>
    <t>SALDO 38 CTAS</t>
  </si>
  <si>
    <t xml:space="preserve">INFORME DE VENTAS </t>
  </si>
  <si>
    <t>DPTO/COCH</t>
  </si>
  <si>
    <t>VTA/CANJE</t>
  </si>
  <si>
    <t>CANGEMI, SERGIO</t>
  </si>
  <si>
    <t>ANTICIPO USD 21000 DÓLAR BILLETE +  SALDO 26 CTAS - CBIO $128</t>
  </si>
  <si>
    <t xml:space="preserve">RESUMEN MENSUAL DE VENTAS </t>
  </si>
  <si>
    <t>OÑANTE, EDUARDO</t>
  </si>
  <si>
    <t>6ºB</t>
  </si>
  <si>
    <t>SALDO EN 42 + 46 CUOTAS</t>
  </si>
  <si>
    <t>TOTAL DE VENTAS 2020</t>
  </si>
  <si>
    <t>12ºB</t>
  </si>
  <si>
    <t>SPOSITO, EDUARDO</t>
  </si>
  <si>
    <t>CANJE POR HONORARIOS - PRECIO DE UNIDAD MARZO 2020 DE CONTADO</t>
  </si>
  <si>
    <t>GIULIANO, SEBASTIAN</t>
  </si>
  <si>
    <t>12ºA</t>
  </si>
  <si>
    <t xml:space="preserve">ANTICIPO USD 34,000 (CBIO TESORERIA $134) + 25 CUOTAS </t>
  </si>
  <si>
    <t>13ºA</t>
  </si>
  <si>
    <t>APESTEY, EDUARDO</t>
  </si>
  <si>
    <t>2ºB</t>
  </si>
  <si>
    <t xml:space="preserve">ANTICIPO 900K + 42 + 46 CUOTAS </t>
  </si>
  <si>
    <t>8ºC</t>
  </si>
  <si>
    <t>ANTICIPO BANCARIZADO + SALDO 28-08-2020 EN EFECTIVO + TRF</t>
  </si>
  <si>
    <t>-</t>
  </si>
  <si>
    <t>CONTADO</t>
  </si>
  <si>
    <t>FINANCIADO</t>
  </si>
  <si>
    <t>CTDO / FINANC</t>
  </si>
  <si>
    <t xml:space="preserve">UNIDAD </t>
  </si>
  <si>
    <t>FRANCIS, FACUNDO</t>
  </si>
  <si>
    <t>13ºD</t>
  </si>
  <si>
    <t>ANTICIPO + 87 CTAS - CBIO TESORERIA $128</t>
  </si>
  <si>
    <t xml:space="preserve"> 1°-C</t>
  </si>
  <si>
    <t xml:space="preserve"> 2°- C</t>
  </si>
  <si>
    <t xml:space="preserve"> 10°- C</t>
  </si>
  <si>
    <t xml:space="preserve"> 11°- C</t>
  </si>
  <si>
    <t xml:space="preserve"> 12°- C</t>
  </si>
  <si>
    <t xml:space="preserve"> 13°- C</t>
  </si>
  <si>
    <t xml:space="preserve"> 14°- A</t>
  </si>
  <si>
    <t xml:space="preserve"> 14°- C</t>
  </si>
  <si>
    <t xml:space="preserve"> 15°- C</t>
  </si>
  <si>
    <t xml:space="preserve"> 16°- A</t>
  </si>
  <si>
    <t xml:space="preserve"> 16°- C</t>
  </si>
  <si>
    <t xml:space="preserve"> 17º - A</t>
  </si>
  <si>
    <t xml:space="preserve"> 17º- C</t>
  </si>
  <si>
    <t>OPERACIÓN CTO ENTRGA USD CAMBIO $136</t>
  </si>
  <si>
    <t xml:space="preserve">HADDAD, CARLOS </t>
  </si>
  <si>
    <t>15ºH</t>
  </si>
  <si>
    <t>OPERACIÓN CTO ENTREGA PESOS</t>
  </si>
  <si>
    <t>AZARETSKY, ALEJANDRO</t>
  </si>
  <si>
    <t>OPERACIÓN CTO ENTRGA USD CAMBIO $160</t>
  </si>
  <si>
    <t xml:space="preserve">METROS VENDIDOS </t>
  </si>
  <si>
    <t xml:space="preserve">USD </t>
  </si>
  <si>
    <t>M3Hº</t>
  </si>
  <si>
    <t>UNIDAD - NOMENCL</t>
  </si>
  <si>
    <t>DPTO / COCHERA</t>
  </si>
  <si>
    <t>TOTAL ING</t>
  </si>
  <si>
    <t>VENTA</t>
  </si>
  <si>
    <t>LO PAGADO EN RED +  32 CUOTAS</t>
  </si>
  <si>
    <t>CANJE DE MATERIALES</t>
  </si>
  <si>
    <t>0% ANTICIPO</t>
  </si>
  <si>
    <t>SANCHEZ</t>
  </si>
  <si>
    <t>COCH</t>
  </si>
  <si>
    <t>LO PAGADO EN BLUE + 31 CUOTAS</t>
  </si>
  <si>
    <t>ENTREGA DPTO ARGIA</t>
  </si>
  <si>
    <t>105 CUOTAS</t>
  </si>
  <si>
    <t>36 CUOTAS</t>
  </si>
  <si>
    <t>COCH 29</t>
  </si>
  <si>
    <t>COCH 30</t>
  </si>
  <si>
    <t>ENTREGA $170,000 (SALDO EN JULIO)</t>
  </si>
  <si>
    <t>SALDO 38 CUOTAS</t>
  </si>
  <si>
    <t xml:space="preserve">ENTREGA VALORES A DEP X 100% </t>
  </si>
  <si>
    <t>SALDO EN 100 CUOTAS</t>
  </si>
  <si>
    <t xml:space="preserve">PLAZO FIJO </t>
  </si>
  <si>
    <t>VENTA ARGIA/COMPRA FALU</t>
  </si>
  <si>
    <t>COCH 9</t>
  </si>
  <si>
    <t xml:space="preserve">SE HACE DESC X ALQ DE $209722 - LA DIF $441506 LA ENTREGA EN EFECTIVO HASTA AGO 2020 </t>
  </si>
  <si>
    <t>SEÑA CHEQUES - COMPLETA PAGO TAMBIEN EN SEPT</t>
  </si>
  <si>
    <t>COCH 10</t>
  </si>
  <si>
    <t xml:space="preserve">ENTREGA VALORES DE TERCEROS - OFICIALES Y SHAJOR X EL TOTAL </t>
  </si>
  <si>
    <t>COCH 2</t>
  </si>
  <si>
    <t>COCH 4</t>
  </si>
  <si>
    <t>COCH 8</t>
  </si>
  <si>
    <t>COCH 15</t>
  </si>
  <si>
    <t>11ºF</t>
  </si>
  <si>
    <t>COCH 1</t>
  </si>
  <si>
    <t>COCH 3</t>
  </si>
  <si>
    <t>FINANCIA SALDO EN 11 + 36</t>
  </si>
  <si>
    <t xml:space="preserve">SALDO FINANCIADO EN 12 CUOTAS </t>
  </si>
  <si>
    <t>COCH 17</t>
  </si>
  <si>
    <t>PAGO CONTADO DOLARES TC:67</t>
  </si>
  <si>
    <t xml:space="preserve">CANJE MATERIALES </t>
  </si>
  <si>
    <t>ANTICIPO + SALDO EN 95 CUOTAS</t>
  </si>
  <si>
    <t xml:space="preserve">INFORME MENSUAL DE VENTAS </t>
  </si>
  <si>
    <t>INGRESOS DICIEMBRE</t>
  </si>
  <si>
    <t>PRECIO DE VENTA 2019</t>
  </si>
  <si>
    <t>PROMEDIO DPTOS</t>
  </si>
  <si>
    <t>PROMEDIO COCH</t>
  </si>
  <si>
    <t>PROM MENSUAL UNID VENDIDAS SIN COCH</t>
  </si>
  <si>
    <t>VTA USD</t>
  </si>
  <si>
    <t>VTA $</t>
  </si>
  <si>
    <t xml:space="preserve">VTA USD </t>
  </si>
  <si>
    <t>M2 USD</t>
  </si>
  <si>
    <t>11ºG</t>
  </si>
  <si>
    <t>11ºI</t>
  </si>
  <si>
    <t>11ºJ</t>
  </si>
  <si>
    <t>12ºH</t>
  </si>
  <si>
    <t>12ºI</t>
  </si>
  <si>
    <t>12ºJ</t>
  </si>
  <si>
    <t xml:space="preserve">BARROS </t>
  </si>
  <si>
    <t>DUO</t>
  </si>
  <si>
    <t>ANTICIPO EN DOLARES CBIO 160  + 33 CUOTAS</t>
  </si>
  <si>
    <t xml:space="preserve">FERRONI CECILIA </t>
  </si>
  <si>
    <t>7ºC</t>
  </si>
  <si>
    <t>ANTICIPO EN DOLARES CBIO 156 Y PESOS   + 33 CUOTAS</t>
  </si>
  <si>
    <t>1°C</t>
  </si>
  <si>
    <t>ENTREGA SU UNIDAD DE ZOE COMO FORMA DE PAGO</t>
  </si>
  <si>
    <t>ANTICIPO + CUOTAS + ENTREGA</t>
  </si>
  <si>
    <t>3ºC</t>
  </si>
  <si>
    <t>PRECIO PRICING CONTADO</t>
  </si>
  <si>
    <t>VENTA PAQUETE</t>
  </si>
  <si>
    <t>6ºC</t>
  </si>
  <si>
    <t>1ºA</t>
  </si>
  <si>
    <t>OPERACIÓN C/DESC + REMTABILIDAD ANTICIPADA</t>
  </si>
  <si>
    <t>8ºA</t>
  </si>
  <si>
    <t>13ºG</t>
  </si>
  <si>
    <t>10ºG</t>
  </si>
  <si>
    <t>VENTA EN USD BILLETE 31.333 - CBIO 45</t>
  </si>
  <si>
    <t>OPERACIÓN EN DOLARES - CBIO 43,70</t>
  </si>
  <si>
    <t>OPERACIÓN EN DOLARES - CBIO 46</t>
  </si>
  <si>
    <t xml:space="preserve"> USD800 X M2 - CBIO 45</t>
  </si>
  <si>
    <t xml:space="preserve">RENTABILIDAD ANTICIPADA </t>
  </si>
  <si>
    <t>ENTREGA $917,500 (SALDO EN JULIO) dolares + reales</t>
  </si>
  <si>
    <t>6º D</t>
  </si>
  <si>
    <t>9ºB</t>
  </si>
  <si>
    <t>8ºE</t>
  </si>
  <si>
    <t>4ºG</t>
  </si>
  <si>
    <t>5ºG</t>
  </si>
  <si>
    <t>1ºG</t>
  </si>
  <si>
    <t>7ºE</t>
  </si>
  <si>
    <t>SALDO FINANCIADO EN 12 CUOTAS - OPERACIÓN USD 64,50</t>
  </si>
  <si>
    <t>CBIO 42,60</t>
  </si>
  <si>
    <t>CBIO 43,60</t>
  </si>
  <si>
    <t>ENTREGA DPTO ARGIA - CBIO 41,26</t>
  </si>
  <si>
    <t>CBIO</t>
  </si>
  <si>
    <t>DESCUENTO</t>
  </si>
  <si>
    <t>SIN COCHERAS</t>
  </si>
  <si>
    <t>COCH 12</t>
  </si>
  <si>
    <t>COCH 13</t>
  </si>
  <si>
    <t>PROMEDIO M2 USD</t>
  </si>
  <si>
    <t>*PORCENTAJES DE DESCUENTOS A ANALIZAR POR VI</t>
  </si>
  <si>
    <t>ROSSI, AUGUSTO</t>
  </si>
  <si>
    <t>ENTREGA OFICINAS LAMADRID + USD - CBIO TESORERIA 157</t>
  </si>
  <si>
    <t>ENTREGA OFICINAS LAMADRID + USD - CBIO TESORERIA 158</t>
  </si>
  <si>
    <t>ENTREGA OFICINAS LAMADRID + USD - CBIO TESORERIA 159</t>
  </si>
  <si>
    <t>ENTREGA OFICINAS LAMADRID + USD - CBIO TESORERIA 160</t>
  </si>
  <si>
    <t>ENTREGA OFICINAS LAMADRID + USD - CBIO TESORERIA 161</t>
  </si>
  <si>
    <t>ENTREGA OFICINAS LAMADRID + USD - CBIO TESORERIA 162</t>
  </si>
  <si>
    <t>ENTREGA OFICINAS LAMADRID + USD - CBIO TESORERIA 163</t>
  </si>
  <si>
    <t>ENTREGA OFICINAS LAMADRID + USD - CBIO TESORERIA 164</t>
  </si>
  <si>
    <t>CTDO/ FINAN</t>
  </si>
  <si>
    <t xml:space="preserve">FELDMAN GABRIELA </t>
  </si>
  <si>
    <t>ENTREGA A CUENTA MONO BLUE + EFECTIVO DÓLAR COTIZ 147</t>
  </si>
  <si>
    <t>TOTAL DE VENTAS 2021</t>
  </si>
  <si>
    <t>sp</t>
  </si>
  <si>
    <t>FORMA DE PAGO</t>
  </si>
  <si>
    <t>EFECTIVO</t>
  </si>
  <si>
    <t xml:space="preserve">TOTAL INGRESOS  </t>
  </si>
  <si>
    <t>MATERIALES</t>
  </si>
  <si>
    <t>PROM MENSUAL INGRESOS</t>
  </si>
  <si>
    <t>ANDJEL, DIEGO</t>
  </si>
  <si>
    <t>LUNA, LORENA</t>
  </si>
  <si>
    <t xml:space="preserve">CANGEMI, SERGIO </t>
  </si>
  <si>
    <t xml:space="preserve">VTA EN DOLARES CBIO 155- PAGA 6 CTAS A PARTIR SEPT </t>
  </si>
  <si>
    <t>JORRAT, HUGO</t>
  </si>
  <si>
    <t>ENTREGA DOLARES CBIO 155</t>
  </si>
  <si>
    <t>ENTREGA PESOS + DOLARES A CBIO 159,50</t>
  </si>
  <si>
    <t>BANOTTI</t>
  </si>
  <si>
    <t>24 - 4ºA</t>
  </si>
  <si>
    <t>51 - 9ºA</t>
  </si>
  <si>
    <t>OPERACIÓN A CONFIRMAR - DOLARES A 153,50</t>
  </si>
  <si>
    <t>OPERACIÓN A CONFIRMAR DOLARES TOMADOS A 153,50</t>
  </si>
  <si>
    <t>116 - 10ºF</t>
  </si>
  <si>
    <t>117 - 10ºE</t>
  </si>
  <si>
    <t>33 - 5ºA</t>
  </si>
  <si>
    <t>PEREZ</t>
  </si>
  <si>
    <t>82 - 7ºF</t>
  </si>
  <si>
    <t>OPERACIÓN EN DOLARES  - ENTREGA USD33.500</t>
  </si>
  <si>
    <t>HAEL</t>
  </si>
  <si>
    <t xml:space="preserve">EMI </t>
  </si>
  <si>
    <t>43- COCH 39</t>
  </si>
  <si>
    <t>44 - COCH 40</t>
  </si>
  <si>
    <t>52 - 4ºJ</t>
  </si>
  <si>
    <t>60 - 4ºB</t>
  </si>
  <si>
    <t>62 - 5ºJ</t>
  </si>
  <si>
    <t>70 - 5ºB</t>
  </si>
  <si>
    <t>72 - 6ºJ</t>
  </si>
  <si>
    <t xml:space="preserve">CANJE DE MATERIALES </t>
  </si>
  <si>
    <t>121-13ºA</t>
  </si>
  <si>
    <t>137 - 15ºA</t>
  </si>
  <si>
    <t>OPERACIÓN EN DOLARES  - ENTREGA USD130.000 X LAS 3 UNIDADES</t>
  </si>
  <si>
    <t>14 - COCH 14</t>
  </si>
  <si>
    <t>CALDELARI</t>
  </si>
  <si>
    <t>41-6ºC</t>
  </si>
  <si>
    <t>ENTREGA UNIDAD EN BLUE + 585,500</t>
  </si>
  <si>
    <t xml:space="preserve">ESPECHE </t>
  </si>
  <si>
    <t>52 - 8ºB</t>
  </si>
  <si>
    <t>DESCUENTO + RENTABILIDAD ANTICIPADA</t>
  </si>
  <si>
    <t>INGRESOS JUNIO</t>
  </si>
  <si>
    <t xml:space="preserve">PRECIO PRESENTE </t>
  </si>
  <si>
    <t>FERNANDEZ</t>
  </si>
  <si>
    <t>5ºE</t>
  </si>
  <si>
    <t>PAGO CONTADO USD - CBIO 156</t>
  </si>
  <si>
    <t>PROM MENSUAL VENTAS</t>
  </si>
  <si>
    <t>86- 8ºF</t>
  </si>
  <si>
    <t>PAGO CONTADO USD Y PESOS - CBIO 160</t>
  </si>
  <si>
    <t>PEREZ LUISA</t>
  </si>
  <si>
    <t>16 - COCHERA 16</t>
  </si>
  <si>
    <t>18 - 2ºE</t>
  </si>
  <si>
    <t>GAF</t>
  </si>
  <si>
    <t>AA</t>
  </si>
  <si>
    <t>PL</t>
  </si>
  <si>
    <t>GIMENEZ</t>
  </si>
  <si>
    <t>FERNANDEZ SIG</t>
  </si>
  <si>
    <t>RUIZ VIOLA LUCIA</t>
  </si>
  <si>
    <t>24 - 3ºD</t>
  </si>
  <si>
    <t>INGRESOS FORMA DE PAGO</t>
  </si>
  <si>
    <t>TOTAL VENTAS</t>
  </si>
  <si>
    <t xml:space="preserve">VENTAS </t>
  </si>
  <si>
    <t xml:space="preserve">INGRESOS </t>
  </si>
  <si>
    <t>UNIDADES VENDIDAS</t>
  </si>
  <si>
    <t>ANTICIPO + 6 CUOTAS Hº  - entrega DOLARES + PESOS CBIO 170,50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</si>
</sst>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€&quot;_-;\-* #,##0.00\ &quot;€&quot;_-;_-* &quot;-&quot;??\ &quot;€&quot;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[$$-2C0A]\ #,##0"/>
    <numFmt numFmtId="167" formatCode="_-[$$-2C0A]\ * #,##0.00_-;\-[$$-2C0A]\ * #,##0.00_-;_-[$$-2C0A]\ * &quot;-&quot;??_-;_-@_-"/>
    <numFmt numFmtId="168" formatCode="_-[$$-2C0A]\ * #,##0_-;\-[$$-2C0A]\ * #,##0_-;_-[$$-2C0A]\ * &quot;-&quot;??_-;_-@_-"/>
    <numFmt numFmtId="169" formatCode="_-* #,##0.00\ [$USD]_-;\-* #,##0.00\ [$USD]_-;_-* &quot;-&quot;??\ [$USD]_-;_-@_-"/>
    <numFmt numFmtId="170" formatCode="0.000"/>
    <numFmt numFmtId="171" formatCode="_-* #,##0\ [$USD]_-;\-* #,##0\ [$USD]_-;_-* &quot;-&quot;??\ [$USD]_-;_-@_-"/>
    <numFmt numFmtId="172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8"/>
      <color theme="9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CC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6" fillId="16" borderId="0" applyNumberFormat="0" applyBorder="0" applyAlignment="0" applyProtection="0"/>
    <xf numFmtId="164" fontId="7" fillId="0" borderId="0" applyFont="0" applyFill="0" applyBorder="0" applyAlignment="0" applyProtection="0"/>
  </cellStyleXfs>
  <cellXfs count="9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/>
    <xf numFmtId="167" fontId="0" fillId="0" borderId="0" xfId="2" applyNumberFormat="1" applyFont="1"/>
    <xf numFmtId="167" fontId="0" fillId="0" borderId="1" xfId="2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left"/>
    </xf>
    <xf numFmtId="0" fontId="4" fillId="12" borderId="21" xfId="0" applyFont="1" applyFill="1" applyBorder="1" applyAlignment="1">
      <alignment vertical="center"/>
    </xf>
    <xf numFmtId="0" fontId="0" fillId="0" borderId="36" xfId="0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12" borderId="18" xfId="0" applyFill="1" applyBorder="1" applyAlignment="1">
      <alignment vertical="center"/>
    </xf>
    <xf numFmtId="0" fontId="0" fillId="12" borderId="31" xfId="0" applyFill="1" applyBorder="1" applyAlignment="1">
      <alignment vertical="center"/>
    </xf>
    <xf numFmtId="0" fontId="0" fillId="0" borderId="38" xfId="0" applyFill="1" applyBorder="1" applyAlignment="1">
      <alignment horizontal="center" vertical="center"/>
    </xf>
    <xf numFmtId="14" fontId="0" fillId="0" borderId="30" xfId="0" applyNumberForma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7" fontId="0" fillId="0" borderId="30" xfId="2" applyNumberFormat="1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2" fontId="0" fillId="10" borderId="4" xfId="0" applyNumberFormat="1" applyFill="1" applyBorder="1" applyAlignment="1">
      <alignment horizontal="center" vertical="center"/>
    </xf>
    <xf numFmtId="167" fontId="0" fillId="10" borderId="4" xfId="2" applyNumberFormat="1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14" fontId="1" fillId="3" borderId="39" xfId="0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67" fontId="1" fillId="3" borderId="26" xfId="2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0" fillId="12" borderId="45" xfId="0" applyFill="1" applyBorder="1" applyAlignment="1">
      <alignment vertical="center"/>
    </xf>
    <xf numFmtId="14" fontId="0" fillId="15" borderId="30" xfId="0" applyNumberFormat="1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2" fontId="0" fillId="15" borderId="30" xfId="0" applyNumberFormat="1" applyFill="1" applyBorder="1" applyAlignment="1">
      <alignment horizontal="center" vertical="center"/>
    </xf>
    <xf numFmtId="167" fontId="0" fillId="15" borderId="30" xfId="2" applyNumberFormat="1" applyFont="1" applyFill="1" applyBorder="1" applyAlignment="1">
      <alignment horizontal="center" vertical="center"/>
    </xf>
    <xf numFmtId="168" fontId="0" fillId="15" borderId="30" xfId="2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167" fontId="0" fillId="0" borderId="30" xfId="2" applyNumberFormat="1" applyFont="1" applyFill="1" applyBorder="1" applyAlignment="1">
      <alignment horizontal="center" vertical="center"/>
    </xf>
    <xf numFmtId="0" fontId="0" fillId="0" borderId="0" xfId="0" applyFill="1"/>
    <xf numFmtId="14" fontId="0" fillId="10" borderId="4" xfId="0" applyNumberForma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67" fontId="0" fillId="0" borderId="0" xfId="0" applyNumberFormat="1"/>
    <xf numFmtId="167" fontId="0" fillId="0" borderId="1" xfId="0" applyNumberFormat="1" applyBorder="1"/>
    <xf numFmtId="167" fontId="0" fillId="0" borderId="1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7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5" fillId="10" borderId="9" xfId="0" applyFont="1" applyFill="1" applyBorder="1" applyAlignment="1">
      <alignment horizontal="center" vertical="center"/>
    </xf>
    <xf numFmtId="167" fontId="0" fillId="10" borderId="9" xfId="2" applyNumberFormat="1" applyFont="1" applyFill="1" applyBorder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167" fontId="0" fillId="0" borderId="45" xfId="2" applyNumberFormat="1" applyFont="1" applyBorder="1"/>
    <xf numFmtId="0" fontId="0" fillId="0" borderId="0" xfId="0" applyBorder="1"/>
    <xf numFmtId="167" fontId="0" fillId="0" borderId="0" xfId="2" applyNumberFormat="1" applyFont="1" applyBorder="1"/>
    <xf numFmtId="167" fontId="0" fillId="0" borderId="52" xfId="2" applyNumberFormat="1" applyFont="1" applyBorder="1"/>
    <xf numFmtId="167" fontId="0" fillId="0" borderId="26" xfId="2" applyNumberFormat="1" applyFont="1" applyFill="1" applyBorder="1" applyAlignment="1">
      <alignment horizontal="center" vertical="center"/>
    </xf>
    <xf numFmtId="168" fontId="0" fillId="0" borderId="26" xfId="2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14" fontId="0" fillId="0" borderId="9" xfId="0" applyNumberForma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67" fontId="0" fillId="0" borderId="9" xfId="2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0" fontId="0" fillId="0" borderId="45" xfId="0" applyFont="1" applyBorder="1"/>
    <xf numFmtId="14" fontId="0" fillId="0" borderId="45" xfId="0" applyNumberFormat="1" applyFont="1" applyBorder="1"/>
    <xf numFmtId="2" fontId="0" fillId="0" borderId="45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10" fontId="5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5" borderId="41" xfId="0" applyFont="1" applyFill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6" borderId="42" xfId="0" applyFont="1" applyFill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66" fontId="1" fillId="10" borderId="15" xfId="0" applyNumberFormat="1" applyFont="1" applyFill="1" applyBorder="1" applyAlignment="1">
      <alignment horizontal="center" vertical="center"/>
    </xf>
    <xf numFmtId="10" fontId="0" fillId="0" borderId="0" xfId="1" applyNumberFormat="1" applyFont="1" applyBorder="1"/>
    <xf numFmtId="0" fontId="1" fillId="10" borderId="1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12" borderId="42" xfId="0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13" borderId="40" xfId="0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4" fillId="10" borderId="2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166" fontId="0" fillId="8" borderId="15" xfId="0" applyNumberFormat="1" applyFont="1" applyFill="1" applyBorder="1" applyAlignment="1">
      <alignment horizontal="center" vertical="center"/>
    </xf>
    <xf numFmtId="1" fontId="0" fillId="8" borderId="23" xfId="0" applyNumberFormat="1" applyFont="1" applyFill="1" applyBorder="1" applyAlignment="1">
      <alignment horizontal="center" vertical="center"/>
    </xf>
    <xf numFmtId="1" fontId="0" fillId="8" borderId="37" xfId="0" applyNumberFormat="1" applyFont="1" applyFill="1" applyBorder="1" applyAlignment="1">
      <alignment horizontal="center" vertical="center"/>
    </xf>
    <xf numFmtId="0" fontId="6" fillId="0" borderId="0" xfId="0" applyFont="1" applyBorder="1"/>
    <xf numFmtId="167" fontId="6" fillId="0" borderId="0" xfId="0" applyNumberFormat="1" applyFont="1" applyBorder="1"/>
    <xf numFmtId="0" fontId="0" fillId="0" borderId="52" xfId="0" applyFont="1" applyBorder="1"/>
    <xf numFmtId="14" fontId="0" fillId="0" borderId="52" xfId="0" applyNumberFormat="1" applyFont="1" applyBorder="1"/>
    <xf numFmtId="166" fontId="0" fillId="0" borderId="52" xfId="0" applyNumberFormat="1" applyFont="1" applyBorder="1"/>
    <xf numFmtId="0" fontId="10" fillId="0" borderId="0" xfId="0" applyFont="1" applyBorder="1" applyAlignment="1">
      <alignment vertical="center"/>
    </xf>
    <xf numFmtId="14" fontId="0" fillId="0" borderId="31" xfId="0" applyNumberFormat="1" applyFont="1" applyBorder="1"/>
    <xf numFmtId="0" fontId="10" fillId="0" borderId="43" xfId="0" applyFont="1" applyBorder="1" applyAlignment="1">
      <alignment vertical="center"/>
    </xf>
    <xf numFmtId="14" fontId="0" fillId="0" borderId="43" xfId="0" applyNumberFormat="1" applyFont="1" applyBorder="1"/>
    <xf numFmtId="14" fontId="0" fillId="0" borderId="43" xfId="0" applyNumberFormat="1" applyFont="1" applyBorder="1" applyAlignment="1">
      <alignment horizontal="center" vertical="center"/>
    </xf>
    <xf numFmtId="14" fontId="0" fillId="0" borderId="43" xfId="0" applyNumberFormat="1" applyFont="1" applyFill="1" applyBorder="1" applyAlignment="1">
      <alignment horizontal="center" vertical="center"/>
    </xf>
    <xf numFmtId="0" fontId="6" fillId="0" borderId="43" xfId="0" applyFont="1" applyBorder="1"/>
    <xf numFmtId="0" fontId="1" fillId="0" borderId="0" xfId="0" applyFont="1" applyBorder="1"/>
    <xf numFmtId="14" fontId="0" fillId="0" borderId="29" xfId="0" applyNumberFormat="1" applyFont="1" applyBorder="1"/>
    <xf numFmtId="167" fontId="0" fillId="0" borderId="0" xfId="0" applyNumberFormat="1" applyBorder="1"/>
    <xf numFmtId="2" fontId="0" fillId="0" borderId="0" xfId="0" applyNumberFormat="1" applyBorder="1"/>
    <xf numFmtId="167" fontId="0" fillId="0" borderId="24" xfId="2" applyNumberFormat="1" applyFont="1" applyFill="1" applyBorder="1" applyAlignment="1">
      <alignment horizontal="center" vertical="center"/>
    </xf>
    <xf numFmtId="168" fontId="0" fillId="10" borderId="9" xfId="2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167" fontId="0" fillId="0" borderId="35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Fill="1" applyAlignment="1">
      <alignment horizontal="center" vertical="center"/>
    </xf>
    <xf numFmtId="167" fontId="1" fillId="10" borderId="1" xfId="0" applyNumberFormat="1" applyFont="1" applyFill="1" applyBorder="1"/>
    <xf numFmtId="167" fontId="19" fillId="0" borderId="0" xfId="0" applyNumberFormat="1" applyFont="1"/>
    <xf numFmtId="0" fontId="19" fillId="0" borderId="0" xfId="0" applyFont="1"/>
    <xf numFmtId="167" fontId="1" fillId="3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7" fontId="0" fillId="10" borderId="1" xfId="2" applyNumberFormat="1" applyFont="1" applyFill="1" applyBorder="1" applyAlignment="1">
      <alignment horizontal="center" vertical="center"/>
    </xf>
    <xf numFmtId="0" fontId="16" fillId="16" borderId="1" xfId="5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0" fontId="0" fillId="0" borderId="9" xfId="1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166" fontId="5" fillId="10" borderId="11" xfId="0" applyNumberFormat="1" applyFont="1" applyFill="1" applyBorder="1" applyAlignment="1">
      <alignment horizontal="center" vertical="center"/>
    </xf>
    <xf numFmtId="166" fontId="5" fillId="10" borderId="12" xfId="0" applyNumberFormat="1" applyFont="1" applyFill="1" applyBorder="1" applyAlignment="1">
      <alignment horizontal="center" vertical="center"/>
    </xf>
    <xf numFmtId="166" fontId="5" fillId="10" borderId="13" xfId="0" applyNumberFormat="1" applyFont="1" applyFill="1" applyBorder="1" applyAlignment="1">
      <alignment horizontal="center" vertical="center"/>
    </xf>
    <xf numFmtId="167" fontId="0" fillId="0" borderId="0" xfId="2" applyNumberFormat="1" applyFont="1" applyAlignment="1">
      <alignment vertical="center"/>
    </xf>
    <xf numFmtId="0" fontId="0" fillId="0" borderId="0" xfId="0" applyAlignment="1">
      <alignment vertical="center"/>
    </xf>
    <xf numFmtId="167" fontId="0" fillId="0" borderId="28" xfId="2" applyNumberFormat="1" applyFont="1" applyBorder="1" applyAlignment="1">
      <alignment vertical="center"/>
    </xf>
    <xf numFmtId="9" fontId="0" fillId="0" borderId="28" xfId="1" applyFont="1" applyBorder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167" fontId="0" fillId="0" borderId="53" xfId="2" applyNumberFormat="1" applyFont="1" applyBorder="1" applyAlignment="1">
      <alignment vertical="center"/>
    </xf>
    <xf numFmtId="0" fontId="0" fillId="0" borderId="32" xfId="0" applyBorder="1"/>
    <xf numFmtId="0" fontId="16" fillId="16" borderId="4" xfId="5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1" fontId="20" fillId="0" borderId="0" xfId="0" applyNumberFormat="1" applyFont="1" applyBorder="1" applyAlignment="1">
      <alignment horizontal="left"/>
    </xf>
    <xf numFmtId="0" fontId="0" fillId="0" borderId="61" xfId="0" applyBorder="1" applyAlignment="1">
      <alignment horizontal="center" vertical="center" textRotation="90"/>
    </xf>
    <xf numFmtId="0" fontId="0" fillId="10" borderId="62" xfId="0" applyFill="1" applyBorder="1" applyAlignment="1">
      <alignment horizontal="center" vertical="center"/>
    </xf>
    <xf numFmtId="0" fontId="16" fillId="16" borderId="63" xfId="5" applyBorder="1" applyAlignment="1">
      <alignment horizontal="center" vertical="center"/>
    </xf>
    <xf numFmtId="167" fontId="0" fillId="10" borderId="63" xfId="2" applyNumberFormat="1" applyFont="1" applyFill="1" applyBorder="1" applyAlignment="1">
      <alignment horizontal="center" vertical="center"/>
    </xf>
    <xf numFmtId="0" fontId="16" fillId="16" borderId="26" xfId="5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4" fontId="5" fillId="10" borderId="4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167" fontId="5" fillId="10" borderId="4" xfId="2" applyNumberFormat="1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14" fontId="5" fillId="10" borderId="9" xfId="0" applyNumberFormat="1" applyFont="1" applyFill="1" applyBorder="1" applyAlignment="1">
      <alignment horizontal="center" vertical="center"/>
    </xf>
    <xf numFmtId="2" fontId="5" fillId="10" borderId="9" xfId="0" applyNumberFormat="1" applyFont="1" applyFill="1" applyBorder="1" applyAlignment="1">
      <alignment horizontal="center" vertical="center"/>
    </xf>
    <xf numFmtId="167" fontId="5" fillId="10" borderId="9" xfId="2" applyNumberFormat="1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textRotation="90"/>
    </xf>
    <xf numFmtId="0" fontId="0" fillId="0" borderId="50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167" fontId="5" fillId="0" borderId="4" xfId="2" applyNumberFormat="1" applyFont="1" applyFill="1" applyBorder="1" applyAlignment="1">
      <alignment horizontal="center" vertical="center"/>
    </xf>
    <xf numFmtId="168" fontId="0" fillId="0" borderId="1" xfId="2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textRotation="90"/>
    </xf>
    <xf numFmtId="0" fontId="0" fillId="0" borderId="51" xfId="0" applyFill="1" applyBorder="1" applyAlignment="1">
      <alignment horizontal="center" vertical="center"/>
    </xf>
    <xf numFmtId="168" fontId="0" fillId="10" borderId="30" xfId="2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14" fontId="1" fillId="3" borderId="32" xfId="0" applyNumberFormat="1" applyFont="1" applyFill="1" applyBorder="1" applyAlignment="1">
      <alignment horizontal="center" vertical="center"/>
    </xf>
    <xf numFmtId="167" fontId="1" fillId="3" borderId="32" xfId="2" applyNumberFormat="1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168" fontId="0" fillId="0" borderId="24" xfId="2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 textRotation="90"/>
    </xf>
    <xf numFmtId="167" fontId="20" fillId="0" borderId="0" xfId="2" applyNumberFormat="1" applyFont="1" applyBorder="1"/>
    <xf numFmtId="167" fontId="0" fillId="0" borderId="0" xfId="0" applyNumberFormat="1" applyFill="1" applyBorder="1"/>
    <xf numFmtId="44" fontId="0" fillId="0" borderId="0" xfId="2" applyFont="1"/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7" fontId="5" fillId="0" borderId="1" xfId="2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5" fillId="9" borderId="30" xfId="0" applyFont="1" applyFill="1" applyBorder="1" applyAlignment="1">
      <alignment horizontal="center" vertical="center"/>
    </xf>
    <xf numFmtId="167" fontId="5" fillId="9" borderId="9" xfId="2" applyNumberFormat="1" applyFont="1" applyFill="1" applyBorder="1" applyAlignment="1">
      <alignment horizontal="center" vertical="center"/>
    </xf>
    <xf numFmtId="167" fontId="0" fillId="9" borderId="30" xfId="2" applyNumberFormat="1" applyFont="1" applyFill="1" applyBorder="1" applyAlignment="1">
      <alignment horizontal="center" vertical="center"/>
    </xf>
    <xf numFmtId="168" fontId="0" fillId="9" borderId="30" xfId="2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14" fontId="5" fillId="9" borderId="9" xfId="0" applyNumberFormat="1" applyFont="1" applyFill="1" applyBorder="1" applyAlignment="1">
      <alignment horizontal="center" vertical="center"/>
    </xf>
    <xf numFmtId="2" fontId="5" fillId="9" borderId="9" xfId="0" applyNumberFormat="1" applyFont="1" applyFill="1" applyBorder="1" applyAlignment="1">
      <alignment horizontal="center" vertical="center"/>
    </xf>
    <xf numFmtId="167" fontId="0" fillId="9" borderId="9" xfId="2" applyNumberFormat="1" applyFont="1" applyFill="1" applyBorder="1" applyAlignment="1">
      <alignment horizontal="center" vertical="center"/>
    </xf>
    <xf numFmtId="168" fontId="0" fillId="9" borderId="9" xfId="2" applyNumberFormat="1" applyFont="1" applyFill="1" applyBorder="1" applyAlignment="1">
      <alignment horizontal="center" vertical="center"/>
    </xf>
    <xf numFmtId="167" fontId="1" fillId="3" borderId="22" xfId="2" applyNumberFormat="1" applyFont="1" applyFill="1" applyBorder="1" applyAlignment="1">
      <alignment horizontal="center" vertical="center"/>
    </xf>
    <xf numFmtId="167" fontId="1" fillId="3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10" borderId="35" xfId="0" applyNumberFormat="1" applyFill="1" applyBorder="1" applyAlignment="1">
      <alignment horizontal="center" vertical="center"/>
    </xf>
    <xf numFmtId="14" fontId="0" fillId="10" borderId="62" xfId="0" applyNumberFormat="1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2" fontId="0" fillId="10" borderId="63" xfId="0" applyNumberFormat="1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7" fontId="0" fillId="0" borderId="9" xfId="2" applyNumberFormat="1" applyFont="1" applyBorder="1" applyAlignment="1">
      <alignment horizontal="center" vertical="center"/>
    </xf>
    <xf numFmtId="14" fontId="0" fillId="10" borderId="38" xfId="0" applyNumberFormat="1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2" fontId="0" fillId="10" borderId="30" xfId="0" applyNumberFormat="1" applyFill="1" applyBorder="1" applyAlignment="1">
      <alignment horizontal="center" vertical="center"/>
    </xf>
    <xf numFmtId="167" fontId="0" fillId="10" borderId="30" xfId="2" applyNumberFormat="1" applyFont="1" applyFill="1" applyBorder="1" applyAlignment="1">
      <alignment horizontal="center" vertical="center"/>
    </xf>
    <xf numFmtId="14" fontId="0" fillId="0" borderId="39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7" fontId="0" fillId="0" borderId="4" xfId="2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4" fontId="0" fillId="0" borderId="36" xfId="0" applyNumberFormat="1" applyFill="1" applyBorder="1" applyAlignment="1">
      <alignment horizontal="center" vertical="center"/>
    </xf>
    <xf numFmtId="14" fontId="0" fillId="10" borderId="33" xfId="0" applyNumberForma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2" fontId="0" fillId="10" borderId="24" xfId="0" applyNumberFormat="1" applyFill="1" applyBorder="1" applyAlignment="1">
      <alignment horizontal="center" vertical="center"/>
    </xf>
    <xf numFmtId="167" fontId="0" fillId="10" borderId="24" xfId="2" applyNumberFormat="1" applyFont="1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47" xfId="0" applyBorder="1"/>
    <xf numFmtId="14" fontId="0" fillId="10" borderId="6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 textRotation="90"/>
    </xf>
    <xf numFmtId="14" fontId="0" fillId="0" borderId="1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167" fontId="0" fillId="9" borderId="4" xfId="2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7" fontId="0" fillId="9" borderId="1" xfId="2" applyNumberFormat="1" applyFont="1" applyFill="1" applyBorder="1" applyAlignment="1">
      <alignment horizontal="center" vertical="center"/>
    </xf>
    <xf numFmtId="14" fontId="0" fillId="10" borderId="3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/>
    </xf>
    <xf numFmtId="0" fontId="0" fillId="0" borderId="39" xfId="0" applyFill="1" applyBorder="1" applyAlignment="1">
      <alignment horizontal="center" vertical="center"/>
    </xf>
    <xf numFmtId="14" fontId="0" fillId="0" borderId="26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/>
    </xf>
    <xf numFmtId="167" fontId="5" fillId="9" borderId="1" xfId="2" applyNumberFormat="1" applyFont="1" applyFill="1" applyBorder="1" applyAlignment="1">
      <alignment horizontal="center" vertical="center"/>
    </xf>
    <xf numFmtId="167" fontId="5" fillId="9" borderId="1" xfId="2" applyNumberFormat="1" applyFont="1" applyFill="1" applyBorder="1" applyAlignment="1">
      <alignment vertical="center"/>
    </xf>
    <xf numFmtId="168" fontId="0" fillId="9" borderId="1" xfId="2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167" fontId="5" fillId="0" borderId="30" xfId="2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textRotation="90"/>
    </xf>
    <xf numFmtId="168" fontId="0" fillId="0" borderId="63" xfId="2" applyNumberFormat="1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14" fontId="5" fillId="0" borderId="63" xfId="0" applyNumberFormat="1" applyFont="1" applyFill="1" applyBorder="1" applyAlignment="1">
      <alignment horizontal="center" vertical="center"/>
    </xf>
    <xf numFmtId="2" fontId="5" fillId="0" borderId="63" xfId="0" applyNumberFormat="1" applyFont="1" applyFill="1" applyBorder="1" applyAlignment="1">
      <alignment horizontal="center" vertical="center"/>
    </xf>
    <xf numFmtId="167" fontId="5" fillId="0" borderId="63" xfId="2" applyNumberFormat="1" applyFont="1" applyFill="1" applyBorder="1" applyAlignment="1">
      <alignment horizontal="center" vertical="center"/>
    </xf>
    <xf numFmtId="167" fontId="0" fillId="0" borderId="63" xfId="2" applyNumberFormat="1" applyFont="1" applyFill="1" applyBorder="1" applyAlignment="1">
      <alignment horizontal="center" vertical="center"/>
    </xf>
    <xf numFmtId="14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167" fontId="5" fillId="9" borderId="4" xfId="2" applyNumberFormat="1" applyFont="1" applyFill="1" applyBorder="1" applyAlignment="1">
      <alignment horizontal="center" vertical="center"/>
    </xf>
    <xf numFmtId="167" fontId="5" fillId="9" borderId="4" xfId="2" applyNumberFormat="1" applyFont="1" applyFill="1" applyBorder="1" applyAlignment="1">
      <alignment vertical="center"/>
    </xf>
    <xf numFmtId="168" fontId="0" fillId="9" borderId="4" xfId="2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14" fontId="0" fillId="0" borderId="59" xfId="2" applyNumberFormat="1" applyFont="1" applyBorder="1" applyAlignment="1">
      <alignment horizontal="center" vertical="center"/>
    </xf>
    <xf numFmtId="167" fontId="0" fillId="0" borderId="0" xfId="2" applyNumberFormat="1" applyFont="1" applyBorder="1" applyAlignment="1">
      <alignment vertical="center"/>
    </xf>
    <xf numFmtId="9" fontId="0" fillId="0" borderId="0" xfId="1" applyFont="1" applyBorder="1" applyAlignment="1">
      <alignment vertical="center"/>
    </xf>
    <xf numFmtId="0" fontId="0" fillId="0" borderId="68" xfId="0" applyFill="1" applyBorder="1" applyAlignment="1">
      <alignment horizontal="center" vertical="center" textRotation="90"/>
    </xf>
    <xf numFmtId="0" fontId="0" fillId="0" borderId="63" xfId="0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 textRotation="90"/>
    </xf>
    <xf numFmtId="0" fontId="0" fillId="0" borderId="64" xfId="0" applyFill="1" applyBorder="1" applyAlignment="1">
      <alignment vertical="center"/>
    </xf>
    <xf numFmtId="0" fontId="0" fillId="9" borderId="1" xfId="0" applyFill="1" applyBorder="1" applyAlignment="1">
      <alignment horizontal="center" vertical="center" textRotation="90"/>
    </xf>
    <xf numFmtId="0" fontId="0" fillId="9" borderId="4" xfId="0" applyFill="1" applyBorder="1" applyAlignment="1">
      <alignment horizontal="center" vertical="center" textRotation="90"/>
    </xf>
    <xf numFmtId="0" fontId="5" fillId="10" borderId="69" xfId="0" applyFont="1" applyFill="1" applyBorder="1" applyAlignment="1">
      <alignment horizontal="center" vertical="center"/>
    </xf>
    <xf numFmtId="0" fontId="5" fillId="10" borderId="49" xfId="0" applyFont="1" applyFill="1" applyBorder="1" applyAlignment="1">
      <alignment horizontal="center" vertical="center"/>
    </xf>
    <xf numFmtId="14" fontId="5" fillId="0" borderId="24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67" fontId="5" fillId="0" borderId="24" xfId="2" applyNumberFormat="1" applyFont="1" applyFill="1" applyBorder="1" applyAlignment="1">
      <alignment horizontal="center" vertical="center"/>
    </xf>
    <xf numFmtId="167" fontId="5" fillId="0" borderId="24" xfId="2" applyNumberFormat="1" applyFont="1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5" fillId="10" borderId="55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7" fontId="0" fillId="9" borderId="1" xfId="0" applyNumberFormat="1" applyFill="1" applyBorder="1"/>
    <xf numFmtId="0" fontId="0" fillId="9" borderId="63" xfId="0" applyFill="1" applyBorder="1" applyAlignment="1">
      <alignment horizontal="center" vertical="center" textRotation="90"/>
    </xf>
    <xf numFmtId="0" fontId="0" fillId="9" borderId="63" xfId="0" applyFill="1" applyBorder="1" applyAlignment="1">
      <alignment horizontal="center" vertical="center"/>
    </xf>
    <xf numFmtId="0" fontId="5" fillId="9" borderId="63" xfId="0" applyFont="1" applyFill="1" applyBorder="1" applyAlignment="1">
      <alignment horizontal="center" vertical="center"/>
    </xf>
    <xf numFmtId="14" fontId="5" fillId="9" borderId="63" xfId="0" applyNumberFormat="1" applyFont="1" applyFill="1" applyBorder="1" applyAlignment="1">
      <alignment horizontal="center" vertical="center"/>
    </xf>
    <xf numFmtId="2" fontId="5" fillId="9" borderId="63" xfId="0" applyNumberFormat="1" applyFont="1" applyFill="1" applyBorder="1" applyAlignment="1">
      <alignment horizontal="center" vertical="center"/>
    </xf>
    <xf numFmtId="167" fontId="5" fillId="9" borderId="63" xfId="2" applyNumberFormat="1" applyFont="1" applyFill="1" applyBorder="1" applyAlignment="1">
      <alignment horizontal="center" vertical="center"/>
    </xf>
    <xf numFmtId="167" fontId="5" fillId="9" borderId="63" xfId="2" applyNumberFormat="1" applyFont="1" applyFill="1" applyBorder="1" applyAlignment="1">
      <alignment vertical="center"/>
    </xf>
    <xf numFmtId="167" fontId="0" fillId="9" borderId="63" xfId="2" applyNumberFormat="1" applyFont="1" applyFill="1" applyBorder="1" applyAlignment="1">
      <alignment horizontal="center" vertical="center"/>
    </xf>
    <xf numFmtId="168" fontId="0" fillId="9" borderId="63" xfId="2" applyNumberFormat="1" applyFont="1" applyFill="1" applyBorder="1" applyAlignment="1">
      <alignment horizontal="center" vertical="center"/>
    </xf>
    <xf numFmtId="0" fontId="0" fillId="9" borderId="64" xfId="0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textRotation="90"/>
    </xf>
    <xf numFmtId="0" fontId="5" fillId="0" borderId="5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center" vertical="center" textRotation="90"/>
    </xf>
    <xf numFmtId="167" fontId="26" fillId="12" borderId="11" xfId="2" applyNumberFormat="1" applyFont="1" applyFill="1" applyBorder="1" applyAlignment="1">
      <alignment horizontal="center" vertical="center"/>
    </xf>
    <xf numFmtId="167" fontId="26" fillId="12" borderId="21" xfId="2" applyNumberFormat="1" applyFont="1" applyFill="1" applyBorder="1" applyAlignment="1">
      <alignment horizontal="center" vertical="center"/>
    </xf>
    <xf numFmtId="168" fontId="5" fillId="0" borderId="1" xfId="2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8" fontId="0" fillId="0" borderId="4" xfId="2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2" fontId="0" fillId="0" borderId="0" xfId="2" applyNumberFormat="1" applyFont="1" applyAlignment="1">
      <alignment horizontal="center"/>
    </xf>
    <xf numFmtId="167" fontId="0" fillId="0" borderId="35" xfId="2" applyNumberFormat="1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168" fontId="5" fillId="0" borderId="63" xfId="2" applyNumberFormat="1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vertical="center"/>
    </xf>
    <xf numFmtId="0" fontId="0" fillId="10" borderId="44" xfId="0" applyFill="1" applyBorder="1" applyAlignment="1">
      <alignment horizontal="center" vertical="center" textRotation="90"/>
    </xf>
    <xf numFmtId="0" fontId="0" fillId="10" borderId="6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 textRotation="90"/>
    </xf>
    <xf numFmtId="9" fontId="0" fillId="9" borderId="4" xfId="1" applyFont="1" applyFill="1" applyBorder="1" applyAlignment="1">
      <alignment horizontal="center" vertical="center"/>
    </xf>
    <xf numFmtId="9" fontId="0" fillId="0" borderId="0" xfId="1" applyFont="1"/>
    <xf numFmtId="9" fontId="1" fillId="3" borderId="26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5" fillId="9" borderId="1" xfId="1" applyFont="1" applyFill="1" applyBorder="1" applyAlignment="1">
      <alignment horizontal="center" vertical="center"/>
    </xf>
    <xf numFmtId="9" fontId="5" fillId="0" borderId="24" xfId="1" applyFont="1" applyFill="1" applyBorder="1" applyAlignment="1">
      <alignment horizontal="center" vertical="center"/>
    </xf>
    <xf numFmtId="9" fontId="5" fillId="9" borderId="4" xfId="1" applyFont="1" applyFill="1" applyBorder="1" applyAlignment="1">
      <alignment horizontal="center" vertical="center"/>
    </xf>
    <xf numFmtId="9" fontId="5" fillId="9" borderId="9" xfId="1" applyFont="1" applyFill="1" applyBorder="1" applyAlignment="1">
      <alignment horizontal="center" vertical="center"/>
    </xf>
    <xf numFmtId="9" fontId="5" fillId="0" borderId="4" xfId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9" fontId="5" fillId="0" borderId="30" xfId="1" applyFont="1" applyFill="1" applyBorder="1" applyAlignment="1">
      <alignment horizontal="center" vertical="center"/>
    </xf>
    <xf numFmtId="9" fontId="5" fillId="0" borderId="63" xfId="1" applyFont="1" applyFill="1" applyBorder="1" applyAlignment="1">
      <alignment horizontal="center" vertical="center"/>
    </xf>
    <xf numFmtId="9" fontId="5" fillId="9" borderId="63" xfId="1" applyFont="1" applyFill="1" applyBorder="1" applyAlignment="1">
      <alignment horizontal="center" vertical="center"/>
    </xf>
    <xf numFmtId="9" fontId="5" fillId="10" borderId="9" xfId="1" applyFont="1" applyFill="1" applyBorder="1" applyAlignment="1">
      <alignment horizontal="center" vertical="center"/>
    </xf>
    <xf numFmtId="9" fontId="5" fillId="10" borderId="4" xfId="1" applyFont="1" applyFill="1" applyBorder="1" applyAlignment="1">
      <alignment horizontal="center" vertical="center"/>
    </xf>
    <xf numFmtId="9" fontId="0" fillId="0" borderId="0" xfId="1" applyFont="1" applyAlignment="1">
      <alignment vertical="center"/>
    </xf>
    <xf numFmtId="9" fontId="0" fillId="0" borderId="0" xfId="1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167" fontId="0" fillId="0" borderId="0" xfId="2" applyNumberFormat="1" applyFont="1" applyFill="1" applyBorder="1"/>
    <xf numFmtId="1" fontId="4" fillId="0" borderId="0" xfId="0" applyNumberFormat="1" applyFont="1" applyFill="1" applyBorder="1" applyAlignment="1"/>
    <xf numFmtId="0" fontId="0" fillId="0" borderId="0" xfId="0" applyFont="1" applyBorder="1" applyAlignment="1"/>
    <xf numFmtId="167" fontId="0" fillId="0" borderId="2" xfId="2" applyNumberFormat="1" applyFont="1" applyBorder="1"/>
    <xf numFmtId="0" fontId="0" fillId="10" borderId="70" xfId="0" applyFill="1" applyBorder="1" applyAlignment="1">
      <alignment horizontal="center" vertical="center"/>
    </xf>
    <xf numFmtId="14" fontId="0" fillId="10" borderId="70" xfId="0" applyNumberFormat="1" applyFill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2" fontId="0" fillId="10" borderId="70" xfId="0" applyNumberFormat="1" applyFill="1" applyBorder="1" applyAlignment="1">
      <alignment horizontal="center" vertical="center"/>
    </xf>
    <xf numFmtId="167" fontId="0" fillId="10" borderId="70" xfId="2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vertical="center" textRotation="90"/>
    </xf>
    <xf numFmtId="0" fontId="17" fillId="0" borderId="17" xfId="0" applyFont="1" applyBorder="1" applyAlignment="1">
      <alignment horizontal="center" vertical="center" textRotation="90"/>
    </xf>
    <xf numFmtId="0" fontId="0" fillId="0" borderId="70" xfId="0" applyFill="1" applyBorder="1" applyAlignment="1">
      <alignment horizontal="center" vertical="center"/>
    </xf>
    <xf numFmtId="14" fontId="0" fillId="0" borderId="70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167" fontId="0" fillId="0" borderId="70" xfId="2" applyNumberFormat="1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textRotation="90"/>
    </xf>
    <xf numFmtId="0" fontId="0" fillId="10" borderId="0" xfId="0" applyFill="1" applyBorder="1" applyAlignment="1">
      <alignment horizontal="center" vertical="center"/>
    </xf>
    <xf numFmtId="0" fontId="5" fillId="9" borderId="68" xfId="0" applyFont="1" applyFill="1" applyBorder="1" applyAlignment="1">
      <alignment horizontal="center" vertical="center"/>
    </xf>
    <xf numFmtId="14" fontId="5" fillId="9" borderId="30" xfId="0" applyNumberFormat="1" applyFont="1" applyFill="1" applyBorder="1" applyAlignment="1">
      <alignment horizontal="center" vertical="center"/>
    </xf>
    <xf numFmtId="167" fontId="5" fillId="9" borderId="30" xfId="2" applyNumberFormat="1" applyFont="1" applyFill="1" applyBorder="1" applyAlignment="1">
      <alignment horizontal="center" vertical="center"/>
    </xf>
    <xf numFmtId="9" fontId="5" fillId="9" borderId="30" xfId="1" applyFont="1" applyFill="1" applyBorder="1" applyAlignment="1">
      <alignment horizontal="center" vertical="center"/>
    </xf>
    <xf numFmtId="167" fontId="5" fillId="9" borderId="30" xfId="2" applyNumberFormat="1" applyFont="1" applyFill="1" applyBorder="1" applyAlignment="1">
      <alignment vertical="center"/>
    </xf>
    <xf numFmtId="14" fontId="5" fillId="10" borderId="1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167" fontId="5" fillId="10" borderId="1" xfId="2" applyNumberFormat="1" applyFont="1" applyFill="1" applyBorder="1" applyAlignment="1">
      <alignment horizontal="center" vertical="center"/>
    </xf>
    <xf numFmtId="9" fontId="5" fillId="10" borderId="1" xfId="1" applyFont="1" applyFill="1" applyBorder="1" applyAlignment="1">
      <alignment horizontal="center" vertical="center"/>
    </xf>
    <xf numFmtId="168" fontId="0" fillId="10" borderId="1" xfId="2" applyNumberFormat="1" applyFont="1" applyFill="1" applyBorder="1" applyAlignment="1">
      <alignment horizontal="center" vertical="center"/>
    </xf>
    <xf numFmtId="0" fontId="5" fillId="10" borderId="7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168" fontId="0" fillId="10" borderId="4" xfId="2" applyNumberFormat="1" applyFont="1" applyFill="1" applyBorder="1" applyAlignment="1">
      <alignment horizontal="center" vertical="center"/>
    </xf>
    <xf numFmtId="0" fontId="0" fillId="10" borderId="7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164" fontId="5" fillId="9" borderId="30" xfId="2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71" fontId="0" fillId="10" borderId="70" xfId="0" applyNumberFormat="1" applyFill="1" applyBorder="1" applyAlignment="1">
      <alignment horizontal="center" vertical="center"/>
    </xf>
    <xf numFmtId="171" fontId="0" fillId="0" borderId="70" xfId="0" applyNumberFormat="1" applyFill="1" applyBorder="1" applyAlignment="1">
      <alignment horizontal="center" vertical="center"/>
    </xf>
    <xf numFmtId="0" fontId="0" fillId="12" borderId="19" xfId="0" applyFill="1" applyBorder="1" applyAlignment="1">
      <alignment vertical="center"/>
    </xf>
    <xf numFmtId="167" fontId="4" fillId="12" borderId="11" xfId="2" applyNumberFormat="1" applyFont="1" applyFill="1" applyBorder="1" applyAlignment="1">
      <alignment horizontal="center" vertical="center"/>
    </xf>
    <xf numFmtId="167" fontId="4" fillId="12" borderId="21" xfId="2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168" fontId="0" fillId="10" borderId="63" xfId="2" applyNumberFormat="1" applyFont="1" applyFill="1" applyBorder="1" applyAlignment="1">
      <alignment horizontal="center" vertical="center"/>
    </xf>
    <xf numFmtId="0" fontId="0" fillId="10" borderId="64" xfId="0" applyFill="1" applyBorder="1" applyAlignment="1">
      <alignment vertical="center"/>
    </xf>
    <xf numFmtId="0" fontId="0" fillId="0" borderId="34" xfId="0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4" xfId="2" applyNumberFormat="1" applyFont="1" applyBorder="1"/>
    <xf numFmtId="168" fontId="0" fillId="0" borderId="4" xfId="2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0" fillId="0" borderId="1" xfId="2" applyNumberFormat="1" applyFont="1" applyBorder="1"/>
    <xf numFmtId="168" fontId="0" fillId="0" borderId="1" xfId="2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7" fontId="0" fillId="0" borderId="9" xfId="2" applyNumberFormat="1" applyFont="1" applyBorder="1"/>
    <xf numFmtId="168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10" borderId="30" xfId="2" applyNumberFormat="1" applyFont="1" applyFill="1" applyBorder="1"/>
    <xf numFmtId="0" fontId="0" fillId="10" borderId="72" xfId="0" applyFill="1" applyBorder="1" applyAlignment="1">
      <alignment vertical="center"/>
    </xf>
    <xf numFmtId="167" fontId="0" fillId="10" borderId="1" xfId="2" applyNumberFormat="1" applyFont="1" applyFill="1" applyBorder="1"/>
    <xf numFmtId="167" fontId="0" fillId="10" borderId="63" xfId="2" applyNumberFormat="1" applyFont="1" applyFill="1" applyBorder="1"/>
    <xf numFmtId="167" fontId="0" fillId="0" borderId="26" xfId="2" applyNumberFormat="1" applyFont="1" applyBorder="1" applyAlignment="1">
      <alignment horizontal="center" vertical="center"/>
    </xf>
    <xf numFmtId="168" fontId="0" fillId="0" borderId="26" xfId="2" applyNumberFormat="1" applyFont="1" applyBorder="1" applyAlignment="1">
      <alignment horizontal="center" vertical="center"/>
    </xf>
    <xf numFmtId="14" fontId="0" fillId="0" borderId="38" xfId="0" applyNumberFormat="1" applyFill="1" applyBorder="1" applyAlignment="1">
      <alignment horizontal="center" vertical="center"/>
    </xf>
    <xf numFmtId="167" fontId="0" fillId="0" borderId="30" xfId="2" applyNumberFormat="1" applyFont="1" applyBorder="1"/>
    <xf numFmtId="0" fontId="0" fillId="0" borderId="72" xfId="0" applyBorder="1" applyAlignment="1">
      <alignment vertical="center"/>
    </xf>
    <xf numFmtId="0" fontId="0" fillId="0" borderId="2" xfId="0" applyFill="1" applyBorder="1" applyAlignment="1">
      <alignment horizontal="center" vertical="center" textRotation="90"/>
    </xf>
    <xf numFmtId="167" fontId="0" fillId="10" borderId="24" xfId="2" applyNumberFormat="1" applyFont="1" applyFill="1" applyBorder="1"/>
    <xf numFmtId="168" fontId="0" fillId="10" borderId="24" xfId="2" applyNumberFormat="1" applyFont="1" applyFill="1" applyBorder="1" applyAlignment="1">
      <alignment horizontal="center" vertical="center"/>
    </xf>
    <xf numFmtId="0" fontId="0" fillId="10" borderId="37" xfId="0" applyFill="1" applyBorder="1" applyAlignment="1">
      <alignment vertical="center"/>
    </xf>
    <xf numFmtId="166" fontId="0" fillId="0" borderId="0" xfId="0" applyNumberFormat="1"/>
    <xf numFmtId="167" fontId="0" fillId="10" borderId="4" xfId="2" applyNumberFormat="1" applyFont="1" applyFill="1" applyBorder="1"/>
    <xf numFmtId="14" fontId="0" fillId="10" borderId="24" xfId="0" applyNumberForma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14" fontId="0" fillId="10" borderId="15" xfId="0" applyNumberForma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2" fontId="0" fillId="10" borderId="15" xfId="0" applyNumberFormat="1" applyFill="1" applyBorder="1" applyAlignment="1">
      <alignment horizontal="center" vertical="center"/>
    </xf>
    <xf numFmtId="167" fontId="0" fillId="10" borderId="15" xfId="2" applyNumberFormat="1" applyFont="1" applyFill="1" applyBorder="1" applyAlignment="1">
      <alignment horizontal="center" vertical="center"/>
    </xf>
    <xf numFmtId="167" fontId="0" fillId="10" borderId="15" xfId="2" applyNumberFormat="1" applyFont="1" applyFill="1" applyBorder="1"/>
    <xf numFmtId="168" fontId="0" fillId="10" borderId="15" xfId="2" applyNumberFormat="1" applyFont="1" applyFill="1" applyBorder="1" applyAlignment="1">
      <alignment horizontal="center" vertical="center"/>
    </xf>
    <xf numFmtId="0" fontId="0" fillId="10" borderId="16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7" fontId="0" fillId="0" borderId="30" xfId="2" applyNumberFormat="1" applyFont="1" applyFill="1" applyBorder="1"/>
    <xf numFmtId="168" fontId="0" fillId="0" borderId="30" xfId="2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/>
    </xf>
    <xf numFmtId="0" fontId="5" fillId="10" borderId="63" xfId="0" applyFont="1" applyFill="1" applyBorder="1" applyAlignment="1">
      <alignment horizontal="center" vertical="center"/>
    </xf>
    <xf numFmtId="167" fontId="0" fillId="0" borderId="26" xfId="2" applyNumberFormat="1" applyFont="1" applyFill="1" applyBorder="1"/>
    <xf numFmtId="167" fontId="0" fillId="0" borderId="1" xfId="2" applyNumberFormat="1" applyFont="1" applyFill="1" applyBorder="1"/>
    <xf numFmtId="0" fontId="0" fillId="0" borderId="48" xfId="0" applyFill="1" applyBorder="1" applyAlignment="1">
      <alignment horizontal="center" vertical="center" textRotation="90"/>
    </xf>
    <xf numFmtId="167" fontId="0" fillId="0" borderId="9" xfId="2" applyNumberFormat="1" applyFont="1" applyFill="1" applyBorder="1"/>
    <xf numFmtId="168" fontId="0" fillId="0" borderId="15" xfId="2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167" fontId="0" fillId="15" borderId="30" xfId="2" applyNumberFormat="1" applyFont="1" applyFill="1" applyBorder="1"/>
    <xf numFmtId="0" fontId="0" fillId="15" borderId="30" xfId="0" applyFill="1" applyBorder="1" applyAlignment="1">
      <alignment vertical="center"/>
    </xf>
    <xf numFmtId="14" fontId="0" fillId="0" borderId="52" xfId="2" applyNumberFormat="1" applyFont="1" applyBorder="1"/>
    <xf numFmtId="167" fontId="0" fillId="0" borderId="28" xfId="2" applyNumberFormat="1" applyFont="1" applyBorder="1"/>
    <xf numFmtId="167" fontId="0" fillId="0" borderId="19" xfId="2" applyNumberFormat="1" applyFont="1" applyBorder="1"/>
    <xf numFmtId="9" fontId="0" fillId="0" borderId="0" xfId="1" applyFont="1" applyBorder="1"/>
    <xf numFmtId="166" fontId="1" fillId="3" borderId="2" xfId="0" applyNumberFormat="1" applyFont="1" applyFill="1" applyBorder="1" applyAlignment="1">
      <alignment vertical="center"/>
    </xf>
    <xf numFmtId="2" fontId="21" fillId="0" borderId="0" xfId="2" applyNumberFormat="1" applyFont="1" applyBorder="1"/>
    <xf numFmtId="166" fontId="0" fillId="0" borderId="4" xfId="0" applyNumberFormat="1" applyFont="1" applyBorder="1" applyAlignment="1">
      <alignment horizontal="center" vertical="center"/>
    </xf>
    <xf numFmtId="0" fontId="0" fillId="17" borderId="4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6" fontId="0" fillId="0" borderId="9" xfId="0" applyNumberFormat="1" applyFont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center" vertical="center"/>
    </xf>
    <xf numFmtId="166" fontId="5" fillId="0" borderId="4" xfId="0" applyNumberFormat="1" applyFont="1" applyFill="1" applyBorder="1" applyAlignment="1">
      <alignment horizontal="center" vertical="center"/>
    </xf>
    <xf numFmtId="166" fontId="0" fillId="0" borderId="4" xfId="0" applyNumberFormat="1" applyFont="1" applyFill="1" applyBorder="1" applyAlignment="1">
      <alignment horizontal="center" vertical="center"/>
    </xf>
    <xf numFmtId="166" fontId="5" fillId="0" borderId="6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6" fontId="0" fillId="0" borderId="8" xfId="0" applyNumberFormat="1" applyFont="1" applyFill="1" applyBorder="1" applyAlignment="1">
      <alignment horizontal="center" vertical="center"/>
    </xf>
    <xf numFmtId="166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/>
    <xf numFmtId="1" fontId="0" fillId="0" borderId="9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0" fontId="6" fillId="0" borderId="0" xfId="0" applyFont="1"/>
    <xf numFmtId="167" fontId="0" fillId="0" borderId="53" xfId="2" applyNumberFormat="1" applyFont="1" applyBorder="1"/>
    <xf numFmtId="0" fontId="0" fillId="10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1" fontId="7" fillId="0" borderId="70" xfId="2" applyNumberFormat="1" applyFont="1" applyBorder="1" applyAlignment="1">
      <alignment horizontal="center" vertical="center" wrapText="1"/>
    </xf>
    <xf numFmtId="0" fontId="1" fillId="18" borderId="70" xfId="0" applyFont="1" applyFill="1" applyBorder="1" applyAlignment="1">
      <alignment horizontal="center"/>
    </xf>
    <xf numFmtId="14" fontId="1" fillId="18" borderId="70" xfId="0" applyNumberFormat="1" applyFont="1" applyFill="1" applyBorder="1" applyAlignment="1">
      <alignment horizontal="center" vertical="center" wrapText="1"/>
    </xf>
    <xf numFmtId="0" fontId="1" fillId="18" borderId="70" xfId="0" applyFont="1" applyFill="1" applyBorder="1" applyAlignment="1">
      <alignment horizontal="center" vertical="center" wrapText="1"/>
    </xf>
    <xf numFmtId="171" fontId="0" fillId="0" borderId="0" xfId="2" applyNumberFormat="1" applyFont="1"/>
    <xf numFmtId="171" fontId="0" fillId="0" borderId="0" xfId="0" applyNumberFormat="1"/>
    <xf numFmtId="171" fontId="0" fillId="12" borderId="18" xfId="2" applyNumberFormat="1" applyFont="1" applyFill="1" applyBorder="1" applyAlignment="1">
      <alignment horizontal="center" vertical="center"/>
    </xf>
    <xf numFmtId="171" fontId="0" fillId="12" borderId="18" xfId="0" applyNumberFormat="1" applyFill="1" applyBorder="1" applyAlignment="1">
      <alignment vertical="center"/>
    </xf>
    <xf numFmtId="171" fontId="1" fillId="3" borderId="45" xfId="2" applyNumberFormat="1" applyFont="1" applyFill="1" applyBorder="1" applyAlignment="1">
      <alignment horizontal="center" vertical="center"/>
    </xf>
    <xf numFmtId="171" fontId="1" fillId="3" borderId="26" xfId="2" applyNumberFormat="1" applyFont="1" applyFill="1" applyBorder="1" applyAlignment="1">
      <alignment horizontal="center" vertical="center"/>
    </xf>
    <xf numFmtId="171" fontId="0" fillId="10" borderId="70" xfId="2" applyNumberFormat="1" applyFont="1" applyFill="1" applyBorder="1" applyAlignment="1">
      <alignment horizontal="center" vertical="center"/>
    </xf>
    <xf numFmtId="171" fontId="0" fillId="0" borderId="70" xfId="2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171" fontId="0" fillId="0" borderId="70" xfId="0" applyNumberFormat="1" applyFont="1" applyBorder="1" applyAlignment="1">
      <alignment horizontal="center" vertical="center" wrapText="1"/>
    </xf>
    <xf numFmtId="168" fontId="0" fillId="0" borderId="70" xfId="0" applyNumberFormat="1" applyFont="1" applyBorder="1" applyAlignment="1">
      <alignment horizontal="center" vertical="center" wrapText="1"/>
    </xf>
    <xf numFmtId="1" fontId="0" fillId="0" borderId="70" xfId="0" applyNumberFormat="1" applyFont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textRotation="90"/>
    </xf>
    <xf numFmtId="164" fontId="5" fillId="9" borderId="24" xfId="2" applyNumberFormat="1" applyFont="1" applyFill="1" applyBorder="1" applyAlignment="1">
      <alignment horizontal="center" vertical="center"/>
    </xf>
    <xf numFmtId="167" fontId="5" fillId="9" borderId="24" xfId="2" applyNumberFormat="1" applyFont="1" applyFill="1" applyBorder="1" applyAlignment="1">
      <alignment horizontal="center" vertical="center"/>
    </xf>
    <xf numFmtId="167" fontId="0" fillId="9" borderId="24" xfId="2" applyNumberFormat="1" applyFont="1" applyFill="1" applyBorder="1" applyAlignment="1">
      <alignment horizontal="center" vertical="center"/>
    </xf>
    <xf numFmtId="0" fontId="0" fillId="9" borderId="72" xfId="0" applyFill="1" applyBorder="1" applyAlignment="1">
      <alignment vertical="center"/>
    </xf>
    <xf numFmtId="164" fontId="5" fillId="9" borderId="1" xfId="2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4" borderId="29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9" fontId="5" fillId="9" borderId="24" xfId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14" fontId="5" fillId="9" borderId="24" xfId="0" applyNumberFormat="1" applyFont="1" applyFill="1" applyBorder="1" applyAlignment="1">
      <alignment horizontal="center" vertical="center"/>
    </xf>
    <xf numFmtId="164" fontId="5" fillId="9" borderId="63" xfId="2" applyNumberFormat="1" applyFont="1" applyFill="1" applyBorder="1" applyAlignment="1">
      <alignment horizontal="center" vertical="center"/>
    </xf>
    <xf numFmtId="168" fontId="0" fillId="9" borderId="24" xfId="2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textRotation="90"/>
    </xf>
    <xf numFmtId="0" fontId="0" fillId="10" borderId="5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textRotation="90"/>
    </xf>
    <xf numFmtId="0" fontId="0" fillId="10" borderId="52" xfId="0" applyFill="1" applyBorder="1" applyAlignment="1">
      <alignment horizontal="center" vertical="center"/>
    </xf>
    <xf numFmtId="14" fontId="5" fillId="10" borderId="15" xfId="0" applyNumberFormat="1" applyFont="1" applyFill="1" applyBorder="1" applyAlignment="1">
      <alignment horizontal="center" vertical="center"/>
    </xf>
    <xf numFmtId="2" fontId="5" fillId="10" borderId="15" xfId="0" applyNumberFormat="1" applyFont="1" applyFill="1" applyBorder="1" applyAlignment="1">
      <alignment horizontal="center" vertical="center"/>
    </xf>
    <xf numFmtId="167" fontId="5" fillId="10" borderId="15" xfId="2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16" fillId="16" borderId="9" xfId="5" applyBorder="1" applyAlignment="1">
      <alignment horizontal="center" vertical="center"/>
    </xf>
    <xf numFmtId="9" fontId="0" fillId="9" borderId="9" xfId="1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0" fontId="21" fillId="16" borderId="63" xfId="5" applyFont="1" applyBorder="1" applyAlignment="1">
      <alignment horizontal="center" vertical="center"/>
    </xf>
    <xf numFmtId="0" fontId="5" fillId="10" borderId="77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 textRotation="90"/>
    </xf>
    <xf numFmtId="14" fontId="5" fillId="0" borderId="30" xfId="0" applyNumberFormat="1" applyFont="1" applyFill="1" applyBorder="1" applyAlignment="1">
      <alignment horizontal="center" vertical="center"/>
    </xf>
    <xf numFmtId="2" fontId="5" fillId="0" borderId="30" xfId="0" applyNumberFormat="1" applyFont="1" applyFill="1" applyBorder="1" applyAlignment="1">
      <alignment horizontal="center" vertical="center"/>
    </xf>
    <xf numFmtId="0" fontId="0" fillId="0" borderId="72" xfId="0" applyFill="1" applyBorder="1" applyAlignment="1">
      <alignment vertical="center"/>
    </xf>
    <xf numFmtId="167" fontId="5" fillId="0" borderId="12" xfId="2" applyNumberFormat="1" applyFont="1" applyFill="1" applyBorder="1" applyAlignment="1">
      <alignment horizontal="center" vertical="center"/>
    </xf>
    <xf numFmtId="167" fontId="1" fillId="3" borderId="26" xfId="2" applyNumberFormat="1" applyFont="1" applyFill="1" applyBorder="1" applyAlignment="1">
      <alignment horizontal="center" vertical="center" wrapText="1"/>
    </xf>
    <xf numFmtId="2" fontId="5" fillId="9" borderId="2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70" fontId="0" fillId="9" borderId="1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4" fontId="0" fillId="9" borderId="26" xfId="0" applyNumberFormat="1" applyFill="1" applyBorder="1" applyAlignment="1">
      <alignment horizontal="center" vertical="center"/>
    </xf>
    <xf numFmtId="9" fontId="0" fillId="12" borderId="18" xfId="1" applyFont="1" applyFill="1" applyBorder="1" applyAlignment="1">
      <alignment vertical="center"/>
    </xf>
    <xf numFmtId="9" fontId="0" fillId="10" borderId="1" xfId="1" applyFon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10" borderId="24" xfId="1" applyFont="1" applyFill="1" applyBorder="1" applyAlignment="1">
      <alignment horizontal="center" vertical="center"/>
    </xf>
    <xf numFmtId="9" fontId="0" fillId="10" borderId="63" xfId="1" applyFont="1" applyFill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10" borderId="30" xfId="1" applyFont="1" applyFill="1" applyBorder="1" applyAlignment="1">
      <alignment horizontal="center" vertical="center"/>
    </xf>
    <xf numFmtId="9" fontId="0" fillId="0" borderId="30" xfId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 textRotation="90"/>
    </xf>
    <xf numFmtId="1" fontId="0" fillId="0" borderId="0" xfId="0" applyNumberFormat="1" applyFont="1" applyBorder="1" applyAlignment="1">
      <alignment horizontal="center"/>
    </xf>
    <xf numFmtId="9" fontId="0" fillId="10" borderId="4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/>
    </xf>
    <xf numFmtId="9" fontId="0" fillId="0" borderId="26" xfId="1" applyFont="1" applyFill="1" applyBorder="1" applyAlignment="1">
      <alignment horizontal="center" vertical="center"/>
    </xf>
    <xf numFmtId="166" fontId="11" fillId="3" borderId="55" xfId="0" applyNumberFormat="1" applyFont="1" applyFill="1" applyBorder="1" applyAlignment="1">
      <alignment horizontal="center" vertical="center"/>
    </xf>
    <xf numFmtId="166" fontId="11" fillId="3" borderId="54" xfId="0" applyNumberFormat="1" applyFont="1" applyFill="1" applyBorder="1" applyAlignment="1">
      <alignment horizontal="center" vertical="center"/>
    </xf>
    <xf numFmtId="166" fontId="11" fillId="0" borderId="55" xfId="0" applyNumberFormat="1" applyFont="1" applyFill="1" applyBorder="1" applyAlignment="1">
      <alignment horizontal="center" vertical="center"/>
    </xf>
    <xf numFmtId="166" fontId="11" fillId="0" borderId="54" xfId="0" applyNumberFormat="1" applyFont="1" applyFill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66" fontId="1" fillId="3" borderId="3" xfId="0" applyNumberFormat="1" applyFont="1" applyFill="1" applyBorder="1" applyAlignment="1">
      <alignment horizontal="center" vertical="center"/>
    </xf>
    <xf numFmtId="166" fontId="1" fillId="3" borderId="6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/>
    </xf>
    <xf numFmtId="167" fontId="0" fillId="0" borderId="0" xfId="2" applyNumberFormat="1" applyFont="1" applyFill="1" applyBorder="1" applyAlignment="1">
      <alignment horizontal="center" wrapText="1"/>
    </xf>
    <xf numFmtId="1" fontId="0" fillId="0" borderId="0" xfId="2" applyNumberFormat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" fontId="0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/>
    <xf numFmtId="167" fontId="0" fillId="10" borderId="78" xfId="2" applyNumberFormat="1" applyFont="1" applyFill="1" applyBorder="1" applyAlignment="1">
      <alignment horizontal="center" vertical="center"/>
    </xf>
    <xf numFmtId="167" fontId="0" fillId="0" borderId="59" xfId="2" applyNumberFormat="1" applyFont="1" applyBorder="1"/>
    <xf numFmtId="0" fontId="15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1" fontId="0" fillId="0" borderId="0" xfId="2" applyNumberFormat="1" applyFont="1" applyFill="1" applyBorder="1" applyAlignment="1">
      <alignment horizontal="center" vertical="center"/>
    </xf>
    <xf numFmtId="0" fontId="0" fillId="0" borderId="17" xfId="0" applyFont="1" applyBorder="1" applyAlignment="1"/>
    <xf numFmtId="0" fontId="0" fillId="0" borderId="18" xfId="0" applyFont="1" applyBorder="1" applyAlignment="1"/>
    <xf numFmtId="9" fontId="0" fillId="0" borderId="28" xfId="1" applyFont="1" applyBorder="1"/>
    <xf numFmtId="0" fontId="0" fillId="0" borderId="0" xfId="0" applyFill="1" applyBorder="1" applyAlignment="1">
      <alignment horizontal="center"/>
    </xf>
    <xf numFmtId="167" fontId="27" fillId="10" borderId="30" xfId="2" applyNumberFormat="1" applyFont="1" applyFill="1" applyBorder="1" applyAlignment="1">
      <alignment horizontal="center" vertical="center"/>
    </xf>
    <xf numFmtId="9" fontId="27" fillId="10" borderId="30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7" fontId="0" fillId="0" borderId="15" xfId="2" applyNumberFormat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167" fontId="0" fillId="0" borderId="15" xfId="2" applyNumberFormat="1" applyFont="1" applyBorder="1"/>
    <xf numFmtId="0" fontId="0" fillId="0" borderId="16" xfId="0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166" fontId="0" fillId="0" borderId="52" xfId="0" applyNumberFormat="1" applyFont="1" applyBorder="1" applyAlignment="1">
      <alignment vertical="center"/>
    </xf>
    <xf numFmtId="3" fontId="7" fillId="0" borderId="70" xfId="2" applyNumberFormat="1" applyFont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66" fontId="11" fillId="3" borderId="55" xfId="0" applyNumberFormat="1" applyFont="1" applyFill="1" applyBorder="1" applyAlignment="1">
      <alignment horizontal="center" vertical="center"/>
    </xf>
    <xf numFmtId="166" fontId="11" fillId="3" borderId="54" xfId="0" applyNumberFormat="1" applyFont="1" applyFill="1" applyBorder="1" applyAlignment="1">
      <alignment horizontal="center" vertical="center"/>
    </xf>
    <xf numFmtId="166" fontId="11" fillId="0" borderId="55" xfId="0" applyNumberFormat="1" applyFont="1" applyFill="1" applyBorder="1" applyAlignment="1">
      <alignment horizontal="center" vertical="center"/>
    </xf>
    <xf numFmtId="166" fontId="11" fillId="0" borderId="54" xfId="0" applyNumberFormat="1" applyFont="1" applyFill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47" xfId="0" applyFill="1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 textRotation="90"/>
    </xf>
    <xf numFmtId="167" fontId="5" fillId="0" borderId="1" xfId="2" applyNumberFormat="1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 textRotation="90"/>
    </xf>
    <xf numFmtId="167" fontId="5" fillId="0" borderId="63" xfId="2" applyNumberFormat="1" applyFont="1" applyFill="1" applyBorder="1" applyAlignment="1">
      <alignment vertical="center"/>
    </xf>
    <xf numFmtId="0" fontId="0" fillId="0" borderId="63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167" fontId="5" fillId="0" borderId="9" xfId="2" applyNumberFormat="1" applyFont="1" applyFill="1" applyBorder="1" applyAlignment="1">
      <alignment horizontal="center" vertical="center"/>
    </xf>
    <xf numFmtId="9" fontId="5" fillId="0" borderId="9" xfId="1" applyFont="1" applyFill="1" applyBorder="1" applyAlignment="1">
      <alignment horizontal="center" vertical="center"/>
    </xf>
    <xf numFmtId="167" fontId="5" fillId="0" borderId="9" xfId="2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 textRotation="90"/>
    </xf>
    <xf numFmtId="167" fontId="0" fillId="0" borderId="4" xfId="2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10" borderId="4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0" borderId="10" xfId="0" applyFill="1" applyBorder="1" applyAlignment="1">
      <alignment vertical="center"/>
    </xf>
    <xf numFmtId="0" fontId="16" fillId="10" borderId="1" xfId="5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textRotation="90"/>
    </xf>
    <xf numFmtId="0" fontId="5" fillId="10" borderId="7" xfId="0" applyFont="1" applyFill="1" applyBorder="1" applyAlignment="1">
      <alignment vertical="center"/>
    </xf>
    <xf numFmtId="0" fontId="5" fillId="10" borderId="9" xfId="0" applyFont="1" applyFill="1" applyBorder="1" applyAlignment="1">
      <alignment horizontal="center" vertical="center" textRotation="90"/>
    </xf>
    <xf numFmtId="0" fontId="5" fillId="10" borderId="10" xfId="0" applyFont="1" applyFill="1" applyBorder="1" applyAlignment="1">
      <alignment vertical="center"/>
    </xf>
    <xf numFmtId="0" fontId="16" fillId="0" borderId="4" xfId="5" applyFill="1" applyBorder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168" fontId="0" fillId="0" borderId="9" xfId="2" applyNumberFormat="1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167" fontId="5" fillId="0" borderId="4" xfId="2" applyNumberFormat="1" applyFont="1" applyFill="1" applyBorder="1" applyAlignment="1">
      <alignment vertical="center"/>
    </xf>
    <xf numFmtId="164" fontId="5" fillId="0" borderId="4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164" fontId="5" fillId="0" borderId="9" xfId="2" applyNumberFormat="1" applyFont="1" applyFill="1" applyBorder="1" applyAlignment="1">
      <alignment horizontal="center" vertical="center"/>
    </xf>
    <xf numFmtId="0" fontId="0" fillId="10" borderId="70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2" fontId="0" fillId="10" borderId="26" xfId="0" applyNumberFormat="1" applyFill="1" applyBorder="1" applyAlignment="1">
      <alignment horizontal="center" vertical="center"/>
    </xf>
    <xf numFmtId="167" fontId="0" fillId="10" borderId="26" xfId="2" applyNumberFormat="1" applyFont="1" applyFill="1" applyBorder="1" applyAlignment="1">
      <alignment horizontal="center" vertical="center"/>
    </xf>
    <xf numFmtId="0" fontId="0" fillId="10" borderId="27" xfId="0" applyFill="1" applyBorder="1" applyAlignment="1">
      <alignment vertical="center"/>
    </xf>
    <xf numFmtId="172" fontId="5" fillId="9" borderId="4" xfId="1" applyNumberFormat="1" applyFont="1" applyFill="1" applyBorder="1" applyAlignment="1">
      <alignment horizontal="center" vertical="center"/>
    </xf>
    <xf numFmtId="172" fontId="5" fillId="9" borderId="1" xfId="1" applyNumberFormat="1" applyFont="1" applyFill="1" applyBorder="1" applyAlignment="1">
      <alignment horizontal="center" vertical="center"/>
    </xf>
    <xf numFmtId="169" fontId="0" fillId="10" borderId="70" xfId="0" applyNumberFormat="1" applyFill="1" applyBorder="1" applyAlignment="1">
      <alignment horizontal="center" vertical="center"/>
    </xf>
    <xf numFmtId="169" fontId="0" fillId="0" borderId="70" xfId="0" applyNumberFormat="1" applyFill="1" applyBorder="1" applyAlignment="1">
      <alignment horizontal="center" vertical="center"/>
    </xf>
    <xf numFmtId="0" fontId="16" fillId="10" borderId="63" xfId="5" applyFill="1" applyBorder="1" applyAlignment="1">
      <alignment horizontal="center" vertical="center"/>
    </xf>
    <xf numFmtId="167" fontId="5" fillId="10" borderId="63" xfId="2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6" fontId="0" fillId="0" borderId="0" xfId="0" applyNumberFormat="1" applyFont="1" applyBorder="1"/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0" fillId="0" borderId="0" xfId="0" applyBorder="1" applyAlignment="1"/>
    <xf numFmtId="166" fontId="5" fillId="0" borderId="34" xfId="0" applyNumberFormat="1" applyFont="1" applyBorder="1" applyAlignment="1">
      <alignment horizontal="center" vertical="center"/>
    </xf>
    <xf numFmtId="166" fontId="5" fillId="0" borderId="36" xfId="0" applyNumberFormat="1" applyFont="1" applyBorder="1" applyAlignment="1">
      <alignment horizontal="center" vertical="center"/>
    </xf>
    <xf numFmtId="166" fontId="5" fillId="10" borderId="56" xfId="0" applyNumberFormat="1" applyFont="1" applyFill="1" applyBorder="1" applyAlignment="1">
      <alignment horizontal="center" vertical="center"/>
    </xf>
    <xf numFmtId="166" fontId="0" fillId="8" borderId="73" xfId="0" applyNumberFormat="1" applyFont="1" applyFill="1" applyBorder="1" applyAlignment="1">
      <alignment horizontal="center" vertical="center"/>
    </xf>
    <xf numFmtId="166" fontId="1" fillId="10" borderId="73" xfId="0" applyNumberFormat="1" applyFont="1" applyFill="1" applyBorder="1" applyAlignment="1">
      <alignment horizontal="center" vertical="center"/>
    </xf>
    <xf numFmtId="166" fontId="5" fillId="0" borderId="35" xfId="0" applyNumberFormat="1" applyFont="1" applyBorder="1" applyAlignment="1">
      <alignment horizontal="center" vertical="center"/>
    </xf>
    <xf numFmtId="0" fontId="0" fillId="13" borderId="46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horizontal="center" vertical="center"/>
    </xf>
    <xf numFmtId="0" fontId="0" fillId="12" borderId="48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4" borderId="46" xfId="0" applyFont="1" applyFill="1" applyBorder="1" applyAlignment="1">
      <alignment horizontal="center" vertical="center"/>
    </xf>
    <xf numFmtId="0" fontId="0" fillId="5" borderId="47" xfId="0" applyFont="1" applyFill="1" applyBorder="1" applyAlignment="1">
      <alignment horizontal="center" vertical="center"/>
    </xf>
    <xf numFmtId="0" fontId="0" fillId="6" borderId="48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14" fontId="0" fillId="0" borderId="0" xfId="2" applyNumberFormat="1" applyFont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7" fontId="0" fillId="0" borderId="0" xfId="2" applyNumberFormat="1" applyFont="1" applyFill="1"/>
    <xf numFmtId="0" fontId="1" fillId="19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67" fontId="20" fillId="0" borderId="0" xfId="2" applyNumberFormat="1" applyFont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6" fillId="0" borderId="63" xfId="5" applyFill="1" applyBorder="1" applyAlignment="1">
      <alignment horizontal="center" vertical="center"/>
    </xf>
    <xf numFmtId="14" fontId="0" fillId="0" borderId="63" xfId="0" applyNumberFormat="1" applyFill="1" applyBorder="1" applyAlignment="1">
      <alignment horizontal="center" vertical="center"/>
    </xf>
    <xf numFmtId="2" fontId="0" fillId="0" borderId="63" xfId="0" applyNumberFormat="1" applyFill="1" applyBorder="1" applyAlignment="1">
      <alignment horizontal="center" vertical="center"/>
    </xf>
    <xf numFmtId="9" fontId="0" fillId="0" borderId="63" xfId="1" applyFont="1" applyFill="1" applyBorder="1" applyAlignment="1">
      <alignment horizontal="center" vertical="center"/>
    </xf>
    <xf numFmtId="0" fontId="0" fillId="10" borderId="0" xfId="0" applyFill="1"/>
    <xf numFmtId="2" fontId="0" fillId="10" borderId="0" xfId="2" applyNumberFormat="1" applyFont="1" applyFill="1" applyAlignment="1">
      <alignment horizontal="center"/>
    </xf>
    <xf numFmtId="167" fontId="0" fillId="10" borderId="0" xfId="2" applyNumberFormat="1" applyFont="1" applyFill="1"/>
    <xf numFmtId="9" fontId="0" fillId="10" borderId="0" xfId="1" applyFont="1" applyFill="1" applyAlignment="1">
      <alignment horizontal="center"/>
    </xf>
    <xf numFmtId="168" fontId="9" fillId="10" borderId="30" xfId="2" applyNumberFormat="1" applyFont="1" applyFill="1" applyBorder="1" applyAlignment="1">
      <alignment horizontal="center" vertical="center"/>
    </xf>
    <xf numFmtId="166" fontId="8" fillId="10" borderId="0" xfId="0" applyNumberFormat="1" applyFont="1" applyFill="1" applyAlignment="1">
      <alignment horizontal="left"/>
    </xf>
    <xf numFmtId="0" fontId="0" fillId="9" borderId="0" xfId="0" applyFill="1"/>
    <xf numFmtId="167" fontId="0" fillId="9" borderId="0" xfId="2" applyNumberFormat="1" applyFont="1" applyFill="1"/>
    <xf numFmtId="166" fontId="8" fillId="9" borderId="0" xfId="0" applyNumberFormat="1" applyFont="1" applyFill="1" applyAlignment="1">
      <alignment horizontal="left"/>
    </xf>
    <xf numFmtId="167" fontId="0" fillId="9" borderId="0" xfId="2" applyNumberFormat="1" applyFont="1" applyFill="1" applyAlignment="1">
      <alignment vertical="center"/>
    </xf>
    <xf numFmtId="168" fontId="9" fillId="9" borderId="0" xfId="2" applyNumberFormat="1" applyFont="1" applyFill="1" applyBorder="1" applyAlignment="1">
      <alignment horizontal="center" vertical="center"/>
    </xf>
    <xf numFmtId="0" fontId="0" fillId="10" borderId="80" xfId="0" applyFill="1" applyBorder="1" applyAlignment="1">
      <alignment horizontal="center" vertical="center"/>
    </xf>
    <xf numFmtId="14" fontId="0" fillId="10" borderId="81" xfId="0" applyNumberFormat="1" applyFill="1" applyBorder="1" applyAlignment="1">
      <alignment horizontal="center" vertical="center"/>
    </xf>
    <xf numFmtId="0" fontId="0" fillId="10" borderId="81" xfId="0" applyFill="1" applyBorder="1" applyAlignment="1">
      <alignment horizontal="center" vertical="center"/>
    </xf>
    <xf numFmtId="2" fontId="0" fillId="10" borderId="81" xfId="0" applyNumberFormat="1" applyFill="1" applyBorder="1" applyAlignment="1">
      <alignment horizontal="center" vertical="center"/>
    </xf>
    <xf numFmtId="169" fontId="0" fillId="10" borderId="81" xfId="0" applyNumberFormat="1" applyFill="1" applyBorder="1" applyAlignment="1">
      <alignment horizontal="center" vertical="center"/>
    </xf>
    <xf numFmtId="171" fontId="0" fillId="10" borderId="81" xfId="0" applyNumberFormat="1" applyFill="1" applyBorder="1" applyAlignment="1">
      <alignment horizontal="center" vertical="center"/>
    </xf>
    <xf numFmtId="167" fontId="0" fillId="10" borderId="81" xfId="2" applyNumberFormat="1" applyFont="1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14" fontId="0" fillId="0" borderId="83" xfId="0" applyNumberFormat="1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2" fontId="0" fillId="0" borderId="83" xfId="0" applyNumberFormat="1" applyFill="1" applyBorder="1" applyAlignment="1">
      <alignment horizontal="center" vertical="center"/>
    </xf>
    <xf numFmtId="169" fontId="0" fillId="0" borderId="83" xfId="0" applyNumberFormat="1" applyFill="1" applyBorder="1" applyAlignment="1">
      <alignment horizontal="center" vertical="center"/>
    </xf>
    <xf numFmtId="171" fontId="0" fillId="0" borderId="83" xfId="0" applyNumberFormat="1" applyFill="1" applyBorder="1" applyAlignment="1">
      <alignment horizontal="center" vertical="center"/>
    </xf>
    <xf numFmtId="167" fontId="0" fillId="0" borderId="83" xfId="2" applyNumberFormat="1" applyFont="1" applyFill="1" applyBorder="1" applyAlignment="1">
      <alignment horizontal="center" vertical="center"/>
    </xf>
    <xf numFmtId="167" fontId="0" fillId="0" borderId="84" xfId="2" applyNumberFormat="1" applyFont="1" applyFill="1" applyBorder="1" applyAlignment="1">
      <alignment horizontal="center" vertical="center"/>
    </xf>
    <xf numFmtId="2" fontId="0" fillId="9" borderId="0" xfId="2" applyNumberFormat="1" applyFont="1" applyFill="1" applyAlignment="1">
      <alignment horizontal="center" vertical="center"/>
    </xf>
    <xf numFmtId="9" fontId="0" fillId="9" borderId="0" xfId="1" applyFont="1" applyFill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14" fontId="0" fillId="0" borderId="81" xfId="0" applyNumberFormat="1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2" fontId="0" fillId="0" borderId="81" xfId="0" applyNumberFormat="1" applyFill="1" applyBorder="1" applyAlignment="1">
      <alignment horizontal="center" vertical="center"/>
    </xf>
    <xf numFmtId="169" fontId="0" fillId="0" borderId="81" xfId="0" applyNumberFormat="1" applyFill="1" applyBorder="1" applyAlignment="1">
      <alignment horizontal="center" vertical="center"/>
    </xf>
    <xf numFmtId="171" fontId="0" fillId="0" borderId="81" xfId="0" applyNumberFormat="1" applyFill="1" applyBorder="1" applyAlignment="1">
      <alignment horizontal="center" vertical="center"/>
    </xf>
    <xf numFmtId="167" fontId="0" fillId="0" borderId="81" xfId="2" applyNumberFormat="1" applyFont="1" applyFill="1" applyBorder="1" applyAlignment="1">
      <alignment horizontal="center" vertical="center"/>
    </xf>
    <xf numFmtId="167" fontId="0" fillId="0" borderId="85" xfId="2" applyNumberFormat="1" applyFont="1" applyFill="1" applyBorder="1" applyAlignment="1">
      <alignment horizontal="center" vertical="center"/>
    </xf>
    <xf numFmtId="167" fontId="0" fillId="0" borderId="86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9" fontId="0" fillId="10" borderId="4" xfId="0" applyNumberFormat="1" applyFill="1" applyBorder="1" applyAlignment="1">
      <alignment horizontal="center" vertical="center"/>
    </xf>
    <xf numFmtId="171" fontId="0" fillId="10" borderId="4" xfId="0" applyNumberFormat="1" applyFill="1" applyBorder="1" applyAlignment="1">
      <alignment horizontal="center" vertical="center"/>
    </xf>
    <xf numFmtId="167" fontId="0" fillId="10" borderId="5" xfId="2" applyNumberFormat="1" applyFont="1" applyFill="1" applyBorder="1" applyAlignment="1">
      <alignment horizontal="center" vertical="center"/>
    </xf>
    <xf numFmtId="169" fontId="0" fillId="10" borderId="1" xfId="0" applyNumberFormat="1" applyFill="1" applyBorder="1" applyAlignment="1">
      <alignment horizontal="center" vertical="center"/>
    </xf>
    <xf numFmtId="171" fontId="0" fillId="10" borderId="1" xfId="0" applyNumberFormat="1" applyFill="1" applyBorder="1" applyAlignment="1">
      <alignment horizontal="center" vertical="center"/>
    </xf>
    <xf numFmtId="167" fontId="0" fillId="10" borderId="7" xfId="2" applyNumberFormat="1" applyFont="1" applyFill="1" applyBorder="1" applyAlignment="1">
      <alignment horizontal="center" vertical="center"/>
    </xf>
    <xf numFmtId="167" fontId="5" fillId="0" borderId="30" xfId="2" applyNumberFormat="1" applyFont="1" applyFill="1" applyBorder="1" applyAlignment="1">
      <alignment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vertical="center" textRotation="90"/>
    </xf>
    <xf numFmtId="0" fontId="5" fillId="10" borderId="14" xfId="0" applyFont="1" applyFill="1" applyBorder="1" applyAlignment="1">
      <alignment vertical="center" textRotation="90"/>
    </xf>
    <xf numFmtId="0" fontId="5" fillId="10" borderId="30" xfId="0" applyFont="1" applyFill="1" applyBorder="1" applyAlignment="1">
      <alignment horizontal="center" vertical="center" textRotation="90"/>
    </xf>
    <xf numFmtId="14" fontId="5" fillId="10" borderId="30" xfId="0" applyNumberFormat="1" applyFont="1" applyFill="1" applyBorder="1" applyAlignment="1">
      <alignment horizontal="center" vertical="center"/>
    </xf>
    <xf numFmtId="2" fontId="5" fillId="10" borderId="30" xfId="0" applyNumberFormat="1" applyFont="1" applyFill="1" applyBorder="1" applyAlignment="1">
      <alignment horizontal="center" vertical="center"/>
    </xf>
    <xf numFmtId="167" fontId="5" fillId="10" borderId="30" xfId="2" applyNumberFormat="1" applyFont="1" applyFill="1" applyBorder="1" applyAlignment="1">
      <alignment horizontal="center" vertical="center"/>
    </xf>
    <xf numFmtId="9" fontId="5" fillId="10" borderId="30" xfId="1" applyFont="1" applyFill="1" applyBorder="1" applyAlignment="1">
      <alignment horizontal="center" vertical="center"/>
    </xf>
    <xf numFmtId="0" fontId="5" fillId="10" borderId="72" xfId="0" applyFont="1" applyFill="1" applyBorder="1" applyAlignment="1">
      <alignment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166" fontId="1" fillId="0" borderId="4" xfId="0" applyNumberFormat="1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166" fontId="1" fillId="3" borderId="10" xfId="0" applyNumberFormat="1" applyFont="1" applyFill="1" applyBorder="1" applyAlignment="1">
      <alignment horizontal="center" vertical="center"/>
    </xf>
    <xf numFmtId="166" fontId="1" fillId="3" borderId="4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6" fontId="1" fillId="3" borderId="18" xfId="0" applyNumberFormat="1" applyFont="1" applyFill="1" applyBorder="1" applyAlignment="1">
      <alignment horizontal="center" vertical="center"/>
    </xf>
    <xf numFmtId="166" fontId="1" fillId="3" borderId="56" xfId="0" applyNumberFormat="1" applyFont="1" applyFill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/>
    </xf>
    <xf numFmtId="166" fontId="1" fillId="3" borderId="19" xfId="0" applyNumberFormat="1" applyFont="1" applyFill="1" applyBorder="1" applyAlignment="1">
      <alignment horizontal="center" vertical="center"/>
    </xf>
    <xf numFmtId="166" fontId="1" fillId="19" borderId="9" xfId="0" applyNumberFormat="1" applyFont="1" applyFill="1" applyBorder="1" applyAlignment="1">
      <alignment horizontal="center" vertical="center"/>
    </xf>
    <xf numFmtId="166" fontId="1" fillId="19" borderId="10" xfId="0" applyNumberFormat="1" applyFont="1" applyFill="1" applyBorder="1" applyAlignment="1">
      <alignment horizontal="center" vertical="center"/>
    </xf>
    <xf numFmtId="166" fontId="1" fillId="19" borderId="1" xfId="0" applyNumberFormat="1" applyFont="1" applyFill="1" applyBorder="1" applyAlignment="1">
      <alignment horizontal="center" vertical="center"/>
    </xf>
    <xf numFmtId="166" fontId="1" fillId="19" borderId="7" xfId="0" applyNumberFormat="1" applyFont="1" applyFill="1" applyBorder="1" applyAlignment="1">
      <alignment horizontal="center" vertical="center"/>
    </xf>
    <xf numFmtId="166" fontId="1" fillId="19" borderId="4" xfId="0" applyNumberFormat="1" applyFont="1" applyFill="1" applyBorder="1" applyAlignment="1">
      <alignment horizontal="center" vertical="center"/>
    </xf>
    <xf numFmtId="166" fontId="1" fillId="19" borderId="5" xfId="0" applyNumberFormat="1" applyFont="1" applyFill="1" applyBorder="1" applyAlignment="1">
      <alignment horizontal="center" vertical="center"/>
    </xf>
    <xf numFmtId="1" fontId="4" fillId="9" borderId="17" xfId="0" applyNumberFormat="1" applyFont="1" applyFill="1" applyBorder="1" applyAlignment="1">
      <alignment horizontal="center"/>
    </xf>
    <xf numFmtId="1" fontId="4" fillId="9" borderId="19" xfId="0" applyNumberFormat="1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center" vertical="center"/>
    </xf>
    <xf numFmtId="166" fontId="11" fillId="0" borderId="50" xfId="0" applyNumberFormat="1" applyFont="1" applyFill="1" applyBorder="1" applyAlignment="1">
      <alignment horizontal="center" vertical="center"/>
    </xf>
    <xf numFmtId="166" fontId="11" fillId="0" borderId="34" xfId="0" applyNumberFormat="1" applyFont="1" applyFill="1" applyBorder="1" applyAlignment="1">
      <alignment horizontal="center" vertical="center"/>
    </xf>
    <xf numFmtId="166" fontId="11" fillId="0" borderId="54" xfId="0" applyNumberFormat="1" applyFont="1" applyFill="1" applyBorder="1" applyAlignment="1">
      <alignment horizontal="center" vertical="center"/>
    </xf>
    <xf numFmtId="166" fontId="11" fillId="0" borderId="57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166" fontId="11" fillId="0" borderId="51" xfId="0" applyNumberFormat="1" applyFont="1" applyFill="1" applyBorder="1" applyAlignment="1">
      <alignment horizontal="center" vertical="center"/>
    </xf>
    <xf numFmtId="166" fontId="11" fillId="0" borderId="36" xfId="0" applyNumberFormat="1" applyFont="1" applyFill="1" applyBorder="1" applyAlignment="1">
      <alignment horizontal="center" vertical="center"/>
    </xf>
    <xf numFmtId="166" fontId="11" fillId="0" borderId="55" xfId="0" applyNumberFormat="1" applyFont="1" applyFill="1" applyBorder="1" applyAlignment="1">
      <alignment horizontal="center" vertical="center"/>
    </xf>
    <xf numFmtId="166" fontId="11" fillId="0" borderId="58" xfId="0" applyNumberFormat="1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166" fontId="11" fillId="3" borderId="50" xfId="0" applyNumberFormat="1" applyFont="1" applyFill="1" applyBorder="1" applyAlignment="1">
      <alignment horizontal="center" vertical="center"/>
    </xf>
    <xf numFmtId="166" fontId="11" fillId="3" borderId="34" xfId="0" applyNumberFormat="1" applyFont="1" applyFill="1" applyBorder="1" applyAlignment="1">
      <alignment horizontal="center" vertical="center"/>
    </xf>
    <xf numFmtId="166" fontId="11" fillId="3" borderId="54" xfId="0" applyNumberFormat="1" applyFont="1" applyFill="1" applyBorder="1" applyAlignment="1">
      <alignment horizontal="center" vertical="center"/>
    </xf>
    <xf numFmtId="166" fontId="11" fillId="3" borderId="57" xfId="0" applyNumberFormat="1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166" fontId="11" fillId="3" borderId="51" xfId="0" applyNumberFormat="1" applyFont="1" applyFill="1" applyBorder="1" applyAlignment="1">
      <alignment horizontal="center" vertical="center"/>
    </xf>
    <xf numFmtId="166" fontId="11" fillId="3" borderId="36" xfId="0" applyNumberFormat="1" applyFont="1" applyFill="1" applyBorder="1" applyAlignment="1">
      <alignment horizontal="center" vertical="center"/>
    </xf>
    <xf numFmtId="166" fontId="11" fillId="3" borderId="55" xfId="0" applyNumberFormat="1" applyFont="1" applyFill="1" applyBorder="1" applyAlignment="1">
      <alignment horizontal="center" vertical="center"/>
    </xf>
    <xf numFmtId="166" fontId="11" fillId="3" borderId="58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0" fontId="0" fillId="0" borderId="68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 textRotation="90"/>
    </xf>
    <xf numFmtId="0" fontId="0" fillId="0" borderId="25" xfId="0" applyFill="1" applyBorder="1" applyAlignment="1">
      <alignment horizontal="center" vertical="center" textRotation="90"/>
    </xf>
    <xf numFmtId="0" fontId="0" fillId="0" borderId="23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0" borderId="32" xfId="0" applyFill="1" applyBorder="1" applyAlignment="1">
      <alignment horizontal="center" vertical="center" textRotation="90"/>
    </xf>
    <xf numFmtId="0" fontId="0" fillId="0" borderId="60" xfId="0" applyFill="1" applyBorder="1" applyAlignment="1">
      <alignment horizontal="center" vertical="center" textRotation="90"/>
    </xf>
    <xf numFmtId="0" fontId="0" fillId="0" borderId="20" xfId="0" applyFill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 textRotation="90"/>
    </xf>
    <xf numFmtId="0" fontId="17" fillId="0" borderId="60" xfId="0" applyFont="1" applyBorder="1" applyAlignment="1">
      <alignment horizontal="center" vertical="center" textRotation="90"/>
    </xf>
    <xf numFmtId="0" fontId="17" fillId="0" borderId="20" xfId="0" applyFont="1" applyBorder="1" applyAlignment="1">
      <alignment horizontal="center" vertical="center" textRotation="90"/>
    </xf>
    <xf numFmtId="0" fontId="17" fillId="0" borderId="32" xfId="0" applyFont="1" applyFill="1" applyBorder="1" applyAlignment="1">
      <alignment horizontal="center" vertical="center" textRotation="90"/>
    </xf>
    <xf numFmtId="0" fontId="17" fillId="0" borderId="60" xfId="0" applyFont="1" applyFill="1" applyBorder="1" applyAlignment="1">
      <alignment horizontal="center" vertical="center" textRotation="90"/>
    </xf>
    <xf numFmtId="0" fontId="17" fillId="0" borderId="31" xfId="0" applyFont="1" applyBorder="1" applyAlignment="1">
      <alignment horizontal="center" vertical="center" textRotation="90"/>
    </xf>
    <xf numFmtId="0" fontId="17" fillId="0" borderId="43" xfId="0" applyFont="1" applyBorder="1" applyAlignment="1">
      <alignment horizontal="center" vertical="center" textRotation="90"/>
    </xf>
    <xf numFmtId="0" fontId="17" fillId="0" borderId="87" xfId="0" applyFont="1" applyBorder="1" applyAlignment="1">
      <alignment horizontal="center" vertical="center" textRotation="90"/>
    </xf>
    <xf numFmtId="0" fontId="17" fillId="0" borderId="79" xfId="0" applyFont="1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2" xfId="0" applyBorder="1" applyAlignment="1">
      <alignment horizontal="center" vertical="center" textRotation="90"/>
    </xf>
    <xf numFmtId="0" fontId="0" fillId="0" borderId="60" xfId="0" applyBorder="1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60" xfId="0" applyFont="1" applyFill="1" applyBorder="1" applyAlignment="1">
      <alignment horizontal="center" vertical="center" textRotation="90"/>
    </xf>
    <xf numFmtId="166" fontId="1" fillId="3" borderId="1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" fillId="3" borderId="5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54" xfId="0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55" xfId="0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textRotation="90"/>
    </xf>
    <xf numFmtId="0" fontId="17" fillId="0" borderId="76" xfId="0" applyFont="1" applyBorder="1" applyAlignment="1">
      <alignment horizontal="center" vertical="center" textRotation="90"/>
    </xf>
    <xf numFmtId="0" fontId="17" fillId="0" borderId="29" xfId="0" applyFont="1" applyBorder="1" applyAlignment="1">
      <alignment horizontal="center" vertical="center" textRotation="90"/>
    </xf>
    <xf numFmtId="0" fontId="17" fillId="0" borderId="40" xfId="0" applyFont="1" applyBorder="1" applyAlignment="1">
      <alignment horizontal="center" vertical="center" textRotation="90"/>
    </xf>
    <xf numFmtId="0" fontId="17" fillId="0" borderId="41" xfId="0" applyFont="1" applyBorder="1" applyAlignment="1">
      <alignment horizontal="center" vertical="center" textRotation="90"/>
    </xf>
    <xf numFmtId="0" fontId="17" fillId="0" borderId="42" xfId="0" applyFont="1" applyBorder="1" applyAlignment="1">
      <alignment horizontal="center" vertical="center" textRotation="90"/>
    </xf>
    <xf numFmtId="0" fontId="17" fillId="0" borderId="67" xfId="0" applyFont="1" applyBorder="1" applyAlignment="1">
      <alignment horizontal="center" vertical="center" textRotation="90"/>
    </xf>
    <xf numFmtId="1" fontId="4" fillId="9" borderId="18" xfId="0" applyNumberFormat="1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center" vertical="center"/>
    </xf>
    <xf numFmtId="166" fontId="11" fillId="0" borderId="10" xfId="0" applyNumberFormat="1" applyFont="1" applyFill="1" applyBorder="1" applyAlignment="1">
      <alignment horizontal="center" vertical="center"/>
    </xf>
    <xf numFmtId="166" fontId="11" fillId="3" borderId="9" xfId="0" applyNumberFormat="1" applyFont="1" applyFill="1" applyBorder="1" applyAlignment="1">
      <alignment horizontal="center" vertical="center"/>
    </xf>
    <xf numFmtId="166" fontId="11" fillId="3" borderId="10" xfId="0" applyNumberFormat="1" applyFont="1" applyFill="1" applyBorder="1" applyAlignment="1">
      <alignment horizontal="center" vertical="center"/>
    </xf>
    <xf numFmtId="166" fontId="11" fillId="3" borderId="4" xfId="0" applyNumberFormat="1" applyFont="1" applyFill="1" applyBorder="1" applyAlignment="1">
      <alignment horizontal="center" vertical="center"/>
    </xf>
    <xf numFmtId="166" fontId="11" fillId="3" borderId="5" xfId="0" applyNumberFormat="1" applyFont="1" applyFill="1" applyBorder="1" applyAlignment="1">
      <alignment horizontal="center" vertical="center"/>
    </xf>
    <xf numFmtId="166" fontId="1" fillId="3" borderId="12" xfId="0" applyNumberFormat="1" applyFont="1" applyFill="1" applyBorder="1" applyAlignment="1">
      <alignment horizontal="center" vertical="center"/>
    </xf>
    <xf numFmtId="166" fontId="1" fillId="3" borderId="13" xfId="0" applyNumberFormat="1" applyFont="1" applyFill="1" applyBorder="1" applyAlignment="1">
      <alignment horizontal="center" vertical="center"/>
    </xf>
    <xf numFmtId="166" fontId="11" fillId="0" borderId="4" xfId="0" applyNumberFormat="1" applyFont="1" applyFill="1" applyBorder="1" applyAlignment="1">
      <alignment horizontal="center" vertical="center"/>
    </xf>
    <xf numFmtId="166" fontId="11" fillId="0" borderId="5" xfId="0" applyNumberFormat="1" applyFont="1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 textRotation="90"/>
    </xf>
    <xf numFmtId="0" fontId="0" fillId="0" borderId="47" xfId="0" applyFill="1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 textRotation="90"/>
    </xf>
    <xf numFmtId="0" fontId="0" fillId="0" borderId="61" xfId="0" applyFill="1" applyBorder="1" applyAlignment="1">
      <alignment horizontal="center" vertical="center" textRotation="90"/>
    </xf>
    <xf numFmtId="0" fontId="0" fillId="0" borderId="60" xfId="0" applyBorder="1"/>
    <xf numFmtId="0" fontId="0" fillId="0" borderId="20" xfId="0" applyBorder="1"/>
    <xf numFmtId="0" fontId="24" fillId="0" borderId="46" xfId="0" applyFont="1" applyFill="1" applyBorder="1" applyAlignment="1">
      <alignment horizontal="center" vertical="center" textRotation="90"/>
    </xf>
    <xf numFmtId="0" fontId="24" fillId="0" borderId="47" xfId="0" applyFont="1" applyFill="1" applyBorder="1" applyAlignment="1">
      <alignment horizontal="center" vertical="center" textRotation="90"/>
    </xf>
    <xf numFmtId="0" fontId="24" fillId="0" borderId="48" xfId="0" applyFont="1" applyFill="1" applyBorder="1" applyAlignment="1">
      <alignment horizontal="center" vertical="center" textRotation="90"/>
    </xf>
    <xf numFmtId="0" fontId="17" fillId="0" borderId="20" xfId="0" applyFont="1" applyFill="1" applyBorder="1" applyAlignment="1">
      <alignment horizontal="center" vertical="center" textRotation="90"/>
    </xf>
    <xf numFmtId="0" fontId="17" fillId="10" borderId="32" xfId="0" applyFont="1" applyFill="1" applyBorder="1" applyAlignment="1">
      <alignment horizontal="center" vertical="center" textRotation="90"/>
    </xf>
    <xf numFmtId="0" fontId="17" fillId="10" borderId="60" xfId="0" applyFont="1" applyFill="1" applyBorder="1" applyAlignment="1">
      <alignment horizontal="center" vertical="center" textRotation="90"/>
    </xf>
    <xf numFmtId="0" fontId="17" fillId="10" borderId="20" xfId="0" applyFont="1" applyFill="1" applyBorder="1" applyAlignment="1">
      <alignment horizontal="center" vertical="center" textRotation="90"/>
    </xf>
    <xf numFmtId="0" fontId="0" fillId="12" borderId="49" xfId="0" applyFill="1" applyBorder="1" applyAlignment="1">
      <alignment horizontal="center" vertical="center"/>
    </xf>
    <xf numFmtId="0" fontId="0" fillId="12" borderId="66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textRotation="90" wrapText="1"/>
    </xf>
    <xf numFmtId="0" fontId="17" fillId="10" borderId="60" xfId="0" applyFont="1" applyFill="1" applyBorder="1" applyAlignment="1">
      <alignment horizontal="center" vertical="center" textRotation="90" wrapText="1"/>
    </xf>
    <xf numFmtId="0" fontId="17" fillId="10" borderId="20" xfId="0" applyFont="1" applyFill="1" applyBorder="1" applyAlignment="1">
      <alignment horizontal="center" vertical="center" textRotation="90" wrapText="1"/>
    </xf>
    <xf numFmtId="0" fontId="1" fillId="19" borderId="3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7">
    <cellStyle name="Incorrecto" xfId="5" builtinId="27"/>
    <cellStyle name="Millares 2" xfId="3"/>
    <cellStyle name="Moneda" xfId="2" builtinId="4"/>
    <cellStyle name="Moneda 2" xfId="4"/>
    <cellStyle name="Moneda 2 2" xfId="6"/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999"/>
      <color rgb="FF99FF99"/>
      <color rgb="FFFF5050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112059</xdr:rowOff>
    </xdr:from>
    <xdr:to>
      <xdr:col>6</xdr:col>
      <xdr:colOff>100853</xdr:colOff>
      <xdr:row>3</xdr:row>
      <xdr:rowOff>160321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12059"/>
          <a:ext cx="1333501" cy="61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112059</xdr:rowOff>
    </xdr:from>
    <xdr:to>
      <xdr:col>6</xdr:col>
      <xdr:colOff>1333501</xdr:colOff>
      <xdr:row>3</xdr:row>
      <xdr:rowOff>160321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676" y="112059"/>
          <a:ext cx="1333501" cy="619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ercializacion/1.2%20PRECIOS%20Y%20DISPONIBILIDADES/2020.02.03%20DISPONIBILIDADES%20Y%20PRECIOS/2020.02.03%20PRICING%20Z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banco"/>
      <sheetName val="Financiador UVA"/>
      <sheetName val="Cotizador UVA"/>
      <sheetName val="Cotizador"/>
      <sheetName val="Financiador"/>
      <sheetName val="Financiador Tradicional"/>
      <sheetName val="Hipotesis"/>
    </sheetNames>
    <sheetDataSet>
      <sheetData sheetId="0">
        <row r="4">
          <cell r="M4">
            <v>8.0559319355180421E-3</v>
          </cell>
        </row>
        <row r="5">
          <cell r="M5">
            <v>6.2500000000000003E-3</v>
          </cell>
        </row>
        <row r="16">
          <cell r="B16">
            <v>2000000</v>
          </cell>
        </row>
        <row r="17">
          <cell r="B17">
            <v>240</v>
          </cell>
        </row>
        <row r="23">
          <cell r="B23">
            <v>0</v>
          </cell>
        </row>
        <row r="25">
          <cell r="B25">
            <v>0</v>
          </cell>
        </row>
        <row r="26">
          <cell r="B26">
            <v>1.0900000000000001E-4</v>
          </cell>
        </row>
        <row r="27">
          <cell r="B2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4.8766196406199169E-2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AH129"/>
  <sheetViews>
    <sheetView showGridLines="0" tabSelected="1" topLeftCell="F1" zoomScale="85" zoomScaleNormal="85" workbookViewId="0">
      <pane ySplit="8" topLeftCell="A38" activePane="bottomLeft" state="frozen"/>
      <selection pane="bottomLeft" activeCell="G76" sqref="G76"/>
    </sheetView>
  </sheetViews>
  <sheetFormatPr baseColWidth="10" defaultRowHeight="15" x14ac:dyDescent="0.25"/>
  <cols>
    <col min="2" max="2" width="3.5703125" customWidth="1"/>
    <col min="3" max="3" width="4.28515625" customWidth="1"/>
    <col min="4" max="4" width="14.85546875" hidden="1" customWidth="1"/>
    <col min="5" max="5" width="10.42578125" style="154" hidden="1" customWidth="1"/>
    <col min="6" max="6" width="18.42578125" customWidth="1"/>
    <col min="7" max="7" width="15.42578125" style="7" customWidth="1"/>
    <col min="8" max="8" width="16" style="7" bestFit="1" customWidth="1"/>
    <col min="9" max="9" width="15.28515625" customWidth="1"/>
    <col min="10" max="10" width="17.85546875" customWidth="1"/>
    <col min="11" max="11" width="13.85546875" customWidth="1"/>
    <col min="12" max="12" width="9.7109375" customWidth="1"/>
    <col min="13" max="13" width="19.42578125" bestFit="1" customWidth="1"/>
    <col min="14" max="14" width="21.140625" bestFit="1" customWidth="1"/>
    <col min="15" max="15" width="16.85546875" customWidth="1"/>
    <col min="16" max="17" width="15.28515625" style="8" customWidth="1"/>
    <col min="18" max="18" width="16.28515625" style="8" customWidth="1"/>
    <col min="19" max="19" width="12.28515625" style="8" customWidth="1"/>
    <col min="20" max="20" width="18.5703125" style="372" hidden="1" customWidth="1"/>
    <col min="21" max="21" width="16.140625" style="172" hidden="1" customWidth="1"/>
    <col min="22" max="22" width="15.28515625" style="172" hidden="1" customWidth="1"/>
    <col min="23" max="23" width="18.28515625" style="172" hidden="1" customWidth="1"/>
    <col min="24" max="24" width="15.5703125" style="172" hidden="1" customWidth="1"/>
    <col min="25" max="25" width="18.5703125" style="172" customWidth="1"/>
    <col min="26" max="28" width="18" style="172" hidden="1" customWidth="1"/>
    <col min="29" max="29" width="16.85546875" style="172" hidden="1" customWidth="1"/>
    <col min="30" max="30" width="19.28515625" style="172" hidden="1" customWidth="1"/>
    <col min="31" max="31" width="18" style="172" hidden="1" customWidth="1"/>
    <col min="32" max="32" width="14.140625" style="172" bestFit="1" customWidth="1"/>
    <col min="33" max="33" width="61.28515625" style="173" bestFit="1" customWidth="1"/>
    <col min="34" max="34" width="11.42578125" style="1" customWidth="1"/>
    <col min="38" max="38" width="15.28515625" bestFit="1" customWidth="1"/>
  </cols>
  <sheetData>
    <row r="5" spans="2:33" ht="23.25" x14ac:dyDescent="0.35">
      <c r="F5" s="856" t="s">
        <v>257</v>
      </c>
      <c r="G5" s="856"/>
      <c r="H5" s="856"/>
      <c r="I5" s="856"/>
      <c r="J5" s="856"/>
      <c r="K5" s="856"/>
      <c r="L5" s="856"/>
      <c r="M5" s="856"/>
      <c r="N5" s="856"/>
      <c r="O5" s="856"/>
      <c r="P5" s="856"/>
      <c r="Q5" s="856"/>
      <c r="R5" s="856"/>
      <c r="S5" s="856"/>
      <c r="T5" s="856"/>
      <c r="U5" s="856"/>
      <c r="V5" s="856"/>
      <c r="W5" s="856"/>
      <c r="X5" s="856"/>
      <c r="Y5" s="856"/>
      <c r="Z5" s="856"/>
      <c r="AA5" s="856"/>
      <c r="AB5" s="856"/>
      <c r="AC5" s="856"/>
      <c r="AD5" s="856"/>
      <c r="AE5" s="856"/>
      <c r="AF5" s="856"/>
      <c r="AG5" s="856"/>
    </row>
    <row r="6" spans="2:33" ht="15.75" thickBot="1" x14ac:dyDescent="0.3">
      <c r="M6" s="7"/>
      <c r="N6" s="7"/>
      <c r="O6" s="7"/>
    </row>
    <row r="7" spans="2:33" ht="15.75" thickBot="1" x14ac:dyDescent="0.3">
      <c r="B7" s="2"/>
      <c r="C7" s="857" t="s">
        <v>38</v>
      </c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  <c r="P7" s="858"/>
      <c r="Q7" s="858"/>
      <c r="R7" s="858"/>
      <c r="S7" s="858"/>
      <c r="T7" s="353" t="s">
        <v>5</v>
      </c>
      <c r="U7" s="353" t="s">
        <v>10</v>
      </c>
      <c r="V7" s="353" t="s">
        <v>11</v>
      </c>
      <c r="W7" s="353" t="s">
        <v>12</v>
      </c>
      <c r="X7" s="353" t="s">
        <v>15</v>
      </c>
      <c r="Y7" s="353" t="s">
        <v>24</v>
      </c>
      <c r="Z7" s="354" t="s">
        <v>29</v>
      </c>
      <c r="AA7" s="354" t="s">
        <v>30</v>
      </c>
      <c r="AB7" s="353" t="s">
        <v>31</v>
      </c>
      <c r="AC7" s="353" t="s">
        <v>33</v>
      </c>
      <c r="AD7" s="353" t="s">
        <v>34</v>
      </c>
      <c r="AE7" s="354" t="s">
        <v>35</v>
      </c>
      <c r="AF7" s="354"/>
      <c r="AG7" s="11"/>
    </row>
    <row r="8" spans="2:33" ht="30.75" thickBot="1" x14ac:dyDescent="0.3">
      <c r="B8" s="2"/>
      <c r="C8" s="180"/>
      <c r="D8" s="145" t="s">
        <v>64</v>
      </c>
      <c r="E8" s="145" t="s">
        <v>62</v>
      </c>
      <c r="F8" s="28" t="s">
        <v>0</v>
      </c>
      <c r="G8" s="27" t="s">
        <v>37</v>
      </c>
      <c r="H8" s="27" t="s">
        <v>259</v>
      </c>
      <c r="I8" s="28" t="s">
        <v>283</v>
      </c>
      <c r="J8" s="28" t="s">
        <v>258</v>
      </c>
      <c r="K8" s="29" t="s">
        <v>1</v>
      </c>
      <c r="L8" s="30" t="s">
        <v>27</v>
      </c>
      <c r="M8" s="30" t="s">
        <v>282</v>
      </c>
      <c r="N8" s="30" t="s">
        <v>420</v>
      </c>
      <c r="O8" s="31" t="s">
        <v>57</v>
      </c>
      <c r="P8" s="31" t="s">
        <v>36</v>
      </c>
      <c r="Q8" s="568" t="s">
        <v>464</v>
      </c>
      <c r="R8" s="568" t="s">
        <v>374</v>
      </c>
      <c r="S8" s="373" t="s">
        <v>400</v>
      </c>
      <c r="T8" s="31" t="s">
        <v>7</v>
      </c>
      <c r="U8" s="31" t="s">
        <v>7</v>
      </c>
      <c r="V8" s="31" t="s">
        <v>7</v>
      </c>
      <c r="W8" s="31" t="s">
        <v>7</v>
      </c>
      <c r="X8" s="31" t="s">
        <v>7</v>
      </c>
      <c r="Y8" s="31" t="s">
        <v>7</v>
      </c>
      <c r="Z8" s="31" t="s">
        <v>7</v>
      </c>
      <c r="AA8" s="31" t="s">
        <v>7</v>
      </c>
      <c r="AB8" s="31" t="s">
        <v>39</v>
      </c>
      <c r="AC8" s="31" t="s">
        <v>39</v>
      </c>
      <c r="AD8" s="31" t="s">
        <v>39</v>
      </c>
      <c r="AE8" s="31" t="s">
        <v>39</v>
      </c>
      <c r="AF8" s="30" t="s">
        <v>3</v>
      </c>
      <c r="AG8" s="144" t="s">
        <v>28</v>
      </c>
    </row>
    <row r="9" spans="2:33" ht="15" customHeight="1" x14ac:dyDescent="0.25">
      <c r="B9" s="2"/>
      <c r="C9" s="859" t="s">
        <v>5</v>
      </c>
      <c r="D9" s="23" t="s">
        <v>70</v>
      </c>
      <c r="E9" s="668" t="s">
        <v>43</v>
      </c>
      <c r="F9" s="682" t="s">
        <v>406</v>
      </c>
      <c r="G9" s="683">
        <v>44210</v>
      </c>
      <c r="H9" s="683" t="s">
        <v>375</v>
      </c>
      <c r="I9" s="23">
        <v>218</v>
      </c>
      <c r="J9" s="23" t="s">
        <v>54</v>
      </c>
      <c r="K9" s="682" t="s">
        <v>365</v>
      </c>
      <c r="L9" s="24">
        <v>63.37</v>
      </c>
      <c r="M9" s="684" t="s">
        <v>280</v>
      </c>
      <c r="N9" s="684" t="s">
        <v>54</v>
      </c>
      <c r="O9" s="25">
        <v>4229947.5</v>
      </c>
      <c r="P9" s="685">
        <f>+O9/L9</f>
        <v>66750</v>
      </c>
      <c r="Q9" s="685"/>
      <c r="R9" s="192">
        <v>5326121.76</v>
      </c>
      <c r="S9" s="580">
        <f>+(O9-R9)/R9</f>
        <v>-0.20581096516276409</v>
      </c>
      <c r="T9" s="158">
        <f>+O9</f>
        <v>4229947.5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420">
        <f>SUM(T9:AE9)</f>
        <v>4229947.5</v>
      </c>
      <c r="AG9" s="686" t="s">
        <v>407</v>
      </c>
    </row>
    <row r="10" spans="2:33" x14ac:dyDescent="0.25">
      <c r="B10" s="2"/>
      <c r="C10" s="860"/>
      <c r="D10" s="155" t="s">
        <v>70</v>
      </c>
      <c r="E10" s="668" t="s">
        <v>43</v>
      </c>
      <c r="F10" s="155" t="s">
        <v>406</v>
      </c>
      <c r="G10" s="156">
        <v>44210</v>
      </c>
      <c r="H10" s="156" t="s">
        <v>375</v>
      </c>
      <c r="I10" s="155">
        <v>219</v>
      </c>
      <c r="J10" s="155" t="s">
        <v>54</v>
      </c>
      <c r="K10" s="155" t="s">
        <v>365</v>
      </c>
      <c r="L10" s="157">
        <v>63.37</v>
      </c>
      <c r="M10" s="157" t="s">
        <v>280</v>
      </c>
      <c r="N10" s="157" t="s">
        <v>54</v>
      </c>
      <c r="O10" s="158">
        <v>4229947.5</v>
      </c>
      <c r="P10" s="158">
        <f t="shared" ref="P10:P17" si="0">+O10/L10</f>
        <v>66750</v>
      </c>
      <c r="Q10" s="158"/>
      <c r="R10" s="415">
        <v>5326121.76</v>
      </c>
      <c r="S10" s="580">
        <f t="shared" ref="S10:S17" si="1">+(O10-R10)/R10</f>
        <v>-0.20581096516276409</v>
      </c>
      <c r="T10" s="158">
        <f t="shared" ref="T10:T16" si="2">+O10</f>
        <v>4229947.5</v>
      </c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417">
        <f t="shared" ref="AF10:AF66" si="3">SUM(T10:AE10)</f>
        <v>4229947.5</v>
      </c>
      <c r="AG10" s="421" t="s">
        <v>408</v>
      </c>
    </row>
    <row r="11" spans="2:33" x14ac:dyDescent="0.25">
      <c r="B11" s="2"/>
      <c r="C11" s="860"/>
      <c r="D11" s="155" t="s">
        <v>70</v>
      </c>
      <c r="E11" s="668" t="s">
        <v>43</v>
      </c>
      <c r="F11" s="155" t="s">
        <v>406</v>
      </c>
      <c r="G11" s="156">
        <v>44210</v>
      </c>
      <c r="H11" s="156" t="s">
        <v>375</v>
      </c>
      <c r="I11" s="155">
        <v>220</v>
      </c>
      <c r="J11" s="155" t="s">
        <v>54</v>
      </c>
      <c r="K11" s="155" t="s">
        <v>365</v>
      </c>
      <c r="L11" s="157">
        <v>69.75</v>
      </c>
      <c r="M11" s="157" t="s">
        <v>280</v>
      </c>
      <c r="N11" s="157" t="s">
        <v>54</v>
      </c>
      <c r="O11" s="158">
        <v>4655812.5</v>
      </c>
      <c r="P11" s="158">
        <f t="shared" si="0"/>
        <v>66750</v>
      </c>
      <c r="Q11" s="158"/>
      <c r="R11" s="415">
        <v>5862347.9999999991</v>
      </c>
      <c r="S11" s="580">
        <f t="shared" si="1"/>
        <v>-0.20581096516276401</v>
      </c>
      <c r="T11" s="158">
        <f t="shared" si="2"/>
        <v>4655812.5</v>
      </c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417">
        <f t="shared" si="3"/>
        <v>4655812.5</v>
      </c>
      <c r="AG11" s="421" t="s">
        <v>409</v>
      </c>
    </row>
    <row r="12" spans="2:33" x14ac:dyDescent="0.25">
      <c r="B12" s="2"/>
      <c r="C12" s="860"/>
      <c r="D12" s="155" t="s">
        <v>70</v>
      </c>
      <c r="E12" s="668" t="s">
        <v>43</v>
      </c>
      <c r="F12" s="155" t="s">
        <v>406</v>
      </c>
      <c r="G12" s="156">
        <v>44210</v>
      </c>
      <c r="H12" s="156" t="s">
        <v>375</v>
      </c>
      <c r="I12" s="155">
        <v>221</v>
      </c>
      <c r="J12" s="155" t="s">
        <v>54</v>
      </c>
      <c r="K12" s="155" t="s">
        <v>365</v>
      </c>
      <c r="L12" s="157">
        <v>35.29</v>
      </c>
      <c r="M12" s="157" t="s">
        <v>280</v>
      </c>
      <c r="N12" s="157" t="s">
        <v>54</v>
      </c>
      <c r="O12" s="158">
        <v>2355607.5</v>
      </c>
      <c r="P12" s="158">
        <f t="shared" si="0"/>
        <v>66750</v>
      </c>
      <c r="Q12" s="158"/>
      <c r="R12" s="415">
        <v>3114271.92</v>
      </c>
      <c r="S12" s="580">
        <f t="shared" si="1"/>
        <v>-0.24360892031547454</v>
      </c>
      <c r="T12" s="158">
        <f t="shared" si="2"/>
        <v>2355607.5</v>
      </c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417">
        <f t="shared" si="3"/>
        <v>2355607.5</v>
      </c>
      <c r="AG12" s="421" t="s">
        <v>410</v>
      </c>
    </row>
    <row r="13" spans="2:33" x14ac:dyDescent="0.25">
      <c r="B13" s="2"/>
      <c r="C13" s="860"/>
      <c r="D13" s="155" t="s">
        <v>70</v>
      </c>
      <c r="E13" s="668" t="s">
        <v>43</v>
      </c>
      <c r="F13" s="155" t="s">
        <v>406</v>
      </c>
      <c r="G13" s="156">
        <v>44210</v>
      </c>
      <c r="H13" s="156" t="s">
        <v>375</v>
      </c>
      <c r="I13" s="155">
        <v>222</v>
      </c>
      <c r="J13" s="155" t="s">
        <v>54</v>
      </c>
      <c r="K13" s="155" t="s">
        <v>365</v>
      </c>
      <c r="L13" s="157">
        <v>46.1</v>
      </c>
      <c r="M13" s="157" t="s">
        <v>280</v>
      </c>
      <c r="N13" s="157" t="s">
        <v>54</v>
      </c>
      <c r="O13" s="158">
        <v>3077175</v>
      </c>
      <c r="P13" s="158">
        <f t="shared" si="0"/>
        <v>66750</v>
      </c>
      <c r="Q13" s="158"/>
      <c r="R13" s="415">
        <v>3761760.0000000005</v>
      </c>
      <c r="S13" s="580">
        <f t="shared" si="1"/>
        <v>-0.18198529411764716</v>
      </c>
      <c r="T13" s="158">
        <f t="shared" si="2"/>
        <v>3077175</v>
      </c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417">
        <f t="shared" si="3"/>
        <v>3077175</v>
      </c>
      <c r="AG13" s="421" t="s">
        <v>411</v>
      </c>
    </row>
    <row r="14" spans="2:33" x14ac:dyDescent="0.25">
      <c r="B14" s="2"/>
      <c r="C14" s="860"/>
      <c r="D14" s="155" t="s">
        <v>70</v>
      </c>
      <c r="E14" s="668" t="s">
        <v>43</v>
      </c>
      <c r="F14" s="155" t="s">
        <v>406</v>
      </c>
      <c r="G14" s="156">
        <v>44210</v>
      </c>
      <c r="H14" s="156" t="s">
        <v>375</v>
      </c>
      <c r="I14" s="155">
        <v>223</v>
      </c>
      <c r="J14" s="155" t="s">
        <v>54</v>
      </c>
      <c r="K14" s="155" t="s">
        <v>365</v>
      </c>
      <c r="L14" s="157">
        <v>46.02</v>
      </c>
      <c r="M14" s="157" t="s">
        <v>280</v>
      </c>
      <c r="N14" s="157" t="s">
        <v>54</v>
      </c>
      <c r="O14" s="158">
        <v>3071835</v>
      </c>
      <c r="P14" s="158">
        <f t="shared" si="0"/>
        <v>66750</v>
      </c>
      <c r="Q14" s="158"/>
      <c r="R14" s="415">
        <v>3755232.0000000005</v>
      </c>
      <c r="S14" s="580">
        <f t="shared" si="1"/>
        <v>-0.18198529411764716</v>
      </c>
      <c r="T14" s="158">
        <f t="shared" si="2"/>
        <v>3071835</v>
      </c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417">
        <f t="shared" si="3"/>
        <v>3071835</v>
      </c>
      <c r="AG14" s="421" t="s">
        <v>412</v>
      </c>
    </row>
    <row r="15" spans="2:33" x14ac:dyDescent="0.25">
      <c r="B15" s="2"/>
      <c r="C15" s="860"/>
      <c r="D15" s="155" t="s">
        <v>70</v>
      </c>
      <c r="E15" s="668" t="s">
        <v>43</v>
      </c>
      <c r="F15" s="155" t="s">
        <v>406</v>
      </c>
      <c r="G15" s="156">
        <v>44210</v>
      </c>
      <c r="H15" s="156" t="s">
        <v>375</v>
      </c>
      <c r="I15" s="155">
        <v>224</v>
      </c>
      <c r="J15" s="155" t="s">
        <v>54</v>
      </c>
      <c r="K15" s="155" t="s">
        <v>365</v>
      </c>
      <c r="L15" s="157">
        <v>44.58</v>
      </c>
      <c r="M15" s="157" t="s">
        <v>280</v>
      </c>
      <c r="N15" s="157" t="s">
        <v>54</v>
      </c>
      <c r="O15" s="158">
        <v>2975715</v>
      </c>
      <c r="P15" s="158">
        <f t="shared" si="0"/>
        <v>66750</v>
      </c>
      <c r="Q15" s="158"/>
      <c r="R15" s="415">
        <v>3819614.4</v>
      </c>
      <c r="S15" s="580">
        <f t="shared" si="1"/>
        <v>-0.22093837535014005</v>
      </c>
      <c r="T15" s="158">
        <f t="shared" si="2"/>
        <v>2975715</v>
      </c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417">
        <f t="shared" si="3"/>
        <v>2975715</v>
      </c>
      <c r="AG15" s="421" t="s">
        <v>413</v>
      </c>
    </row>
    <row r="16" spans="2:33" ht="15.75" thickBot="1" x14ac:dyDescent="0.3">
      <c r="B16" s="2"/>
      <c r="C16" s="860"/>
      <c r="D16" s="242" t="s">
        <v>70</v>
      </c>
      <c r="E16" s="691" t="s">
        <v>43</v>
      </c>
      <c r="F16" s="242" t="s">
        <v>406</v>
      </c>
      <c r="G16" s="269">
        <v>44210</v>
      </c>
      <c r="H16" s="269" t="s">
        <v>375</v>
      </c>
      <c r="I16" s="242">
        <v>225</v>
      </c>
      <c r="J16" s="242" t="s">
        <v>54</v>
      </c>
      <c r="K16" s="242" t="s">
        <v>365</v>
      </c>
      <c r="L16" s="243">
        <v>44.75</v>
      </c>
      <c r="M16" s="243" t="s">
        <v>280</v>
      </c>
      <c r="N16" s="243" t="s">
        <v>54</v>
      </c>
      <c r="O16" s="187">
        <v>2987062.5</v>
      </c>
      <c r="P16" s="187">
        <f t="shared" si="0"/>
        <v>66750</v>
      </c>
      <c r="Q16" s="187"/>
      <c r="R16" s="692">
        <v>3834180</v>
      </c>
      <c r="S16" s="585">
        <f t="shared" si="1"/>
        <v>-0.22093837535014005</v>
      </c>
      <c r="T16" s="187">
        <f t="shared" si="2"/>
        <v>2987062.5</v>
      </c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436">
        <f t="shared" si="3"/>
        <v>2987062.5</v>
      </c>
      <c r="AG16" s="437" t="s">
        <v>414</v>
      </c>
    </row>
    <row r="17" spans="2:34" x14ac:dyDescent="0.25">
      <c r="B17" s="2"/>
      <c r="C17" s="861" t="s">
        <v>10</v>
      </c>
      <c r="D17" s="220" t="s">
        <v>79</v>
      </c>
      <c r="E17" s="673" t="s">
        <v>43</v>
      </c>
      <c r="F17" s="220" t="s">
        <v>416</v>
      </c>
      <c r="G17" s="270">
        <v>44245</v>
      </c>
      <c r="H17" s="270" t="s">
        <v>68</v>
      </c>
      <c r="I17" s="220">
        <v>61</v>
      </c>
      <c r="J17" s="220" t="s">
        <v>54</v>
      </c>
      <c r="K17" s="220" t="s">
        <v>365</v>
      </c>
      <c r="L17" s="693">
        <v>35.29</v>
      </c>
      <c r="M17" s="693" t="s">
        <v>280</v>
      </c>
      <c r="N17" s="693" t="s">
        <v>54</v>
      </c>
      <c r="O17" s="663">
        <v>3664719</v>
      </c>
      <c r="P17" s="663">
        <f t="shared" si="0"/>
        <v>103845.820345707</v>
      </c>
      <c r="Q17" s="663"/>
      <c r="R17" s="203">
        <v>3664719</v>
      </c>
      <c r="S17" s="674">
        <f t="shared" si="1"/>
        <v>0</v>
      </c>
      <c r="T17" s="663"/>
      <c r="U17" s="663">
        <f>+R17</f>
        <v>3664719</v>
      </c>
      <c r="V17" s="663"/>
      <c r="W17" s="663"/>
      <c r="X17" s="663"/>
      <c r="Y17" s="663"/>
      <c r="Z17" s="663"/>
      <c r="AA17" s="663"/>
      <c r="AB17" s="663"/>
      <c r="AC17" s="663"/>
      <c r="AD17" s="663"/>
      <c r="AE17" s="663"/>
      <c r="AF17" s="358">
        <f t="shared" si="3"/>
        <v>3664719</v>
      </c>
      <c r="AG17" s="664" t="s">
        <v>417</v>
      </c>
    </row>
    <row r="18" spans="2:34" ht="15.75" thickBot="1" x14ac:dyDescent="0.3">
      <c r="B18" s="2"/>
      <c r="C18" s="862"/>
      <c r="D18" s="318" t="s">
        <v>79</v>
      </c>
      <c r="E18" s="733" t="s">
        <v>43</v>
      </c>
      <c r="F18" s="318" t="s">
        <v>416</v>
      </c>
      <c r="G18" s="734">
        <v>44245</v>
      </c>
      <c r="H18" s="734" t="s">
        <v>68</v>
      </c>
      <c r="I18" s="318">
        <v>71</v>
      </c>
      <c r="J18" s="318" t="s">
        <v>54</v>
      </c>
      <c r="K18" s="318" t="s">
        <v>365</v>
      </c>
      <c r="L18" s="735">
        <v>35.29</v>
      </c>
      <c r="M18" s="735" t="s">
        <v>280</v>
      </c>
      <c r="N18" s="735" t="s">
        <v>421</v>
      </c>
      <c r="O18" s="305">
        <v>3664719</v>
      </c>
      <c r="P18" s="305">
        <f t="shared" ref="P18:P22" si="4">+O18/L18</f>
        <v>103845.820345707</v>
      </c>
      <c r="Q18" s="305"/>
      <c r="R18" s="304">
        <v>3664720</v>
      </c>
      <c r="S18" s="736">
        <f t="shared" ref="S18:S25" si="5">+(O18-R18)/R18</f>
        <v>-2.7287214302866251E-7</v>
      </c>
      <c r="T18" s="305"/>
      <c r="U18" s="305">
        <f>+R18</f>
        <v>3664720</v>
      </c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0">
        <f t="shared" ref="AF18" si="6">SUM(T18:AE18)</f>
        <v>3664720</v>
      </c>
      <c r="AG18" s="320" t="s">
        <v>417</v>
      </c>
    </row>
    <row r="19" spans="2:34" x14ac:dyDescent="0.25">
      <c r="B19" s="2"/>
      <c r="C19" s="861" t="s">
        <v>12</v>
      </c>
      <c r="D19" s="220" t="s">
        <v>70</v>
      </c>
      <c r="E19" s="673" t="s">
        <v>43</v>
      </c>
      <c r="F19" s="23" t="s">
        <v>427</v>
      </c>
      <c r="G19" s="45">
        <v>44306</v>
      </c>
      <c r="H19" s="45" t="s">
        <v>68</v>
      </c>
      <c r="I19" s="23" t="s">
        <v>472</v>
      </c>
      <c r="J19" s="23" t="s">
        <v>55</v>
      </c>
      <c r="K19" s="23" t="s">
        <v>6</v>
      </c>
      <c r="L19" s="24">
        <v>19.43</v>
      </c>
      <c r="M19" s="24" t="s">
        <v>281</v>
      </c>
      <c r="N19" s="24" t="s">
        <v>421</v>
      </c>
      <c r="O19" s="25">
        <f>12000*155</f>
        <v>1860000</v>
      </c>
      <c r="P19" s="25">
        <f>+O19/L19</f>
        <v>95728.255275347401</v>
      </c>
      <c r="Q19" s="25"/>
      <c r="R19" s="192">
        <v>2034111</v>
      </c>
      <c r="S19" s="591">
        <f t="shared" si="5"/>
        <v>-8.5595623837637178E-2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420">
        <v>0</v>
      </c>
      <c r="AG19" s="26" t="s">
        <v>428</v>
      </c>
      <c r="AH19" s="1">
        <v>155</v>
      </c>
    </row>
    <row r="20" spans="2:34" ht="15" customHeight="1" x14ac:dyDescent="0.25">
      <c r="B20" s="2"/>
      <c r="C20" s="863"/>
      <c r="D20" s="223" t="s">
        <v>474</v>
      </c>
      <c r="E20" s="676" t="s">
        <v>43</v>
      </c>
      <c r="F20" s="189" t="s">
        <v>426</v>
      </c>
      <c r="G20" s="413">
        <v>44315</v>
      </c>
      <c r="H20" s="413" t="s">
        <v>68</v>
      </c>
      <c r="I20" s="189" t="s">
        <v>473</v>
      </c>
      <c r="J20" s="189" t="s">
        <v>54</v>
      </c>
      <c r="K20" s="189" t="s">
        <v>4</v>
      </c>
      <c r="L20" s="414">
        <v>41.43</v>
      </c>
      <c r="M20" s="414" t="s">
        <v>280</v>
      </c>
      <c r="N20" s="414" t="s">
        <v>421</v>
      </c>
      <c r="O20" s="415">
        <v>4143000</v>
      </c>
      <c r="P20" s="415">
        <f t="shared" si="4"/>
        <v>100000</v>
      </c>
      <c r="Q20" s="415"/>
      <c r="R20" s="415">
        <v>5662466</v>
      </c>
      <c r="S20" s="416">
        <f>+(O20-R20)/R20</f>
        <v>-0.2683399776705061</v>
      </c>
      <c r="T20" s="415"/>
      <c r="U20" s="415"/>
      <c r="V20" s="415"/>
      <c r="W20" s="415">
        <v>4143000</v>
      </c>
      <c r="X20" s="415"/>
      <c r="Y20" s="415"/>
      <c r="Z20" s="415"/>
      <c r="AA20" s="415"/>
      <c r="AB20" s="158"/>
      <c r="AC20" s="158"/>
      <c r="AD20" s="158"/>
      <c r="AE20" s="158"/>
      <c r="AF20" s="417">
        <f t="shared" si="3"/>
        <v>4143000</v>
      </c>
      <c r="AG20" s="421" t="s">
        <v>431</v>
      </c>
      <c r="AH20" s="1">
        <v>159.5</v>
      </c>
    </row>
    <row r="21" spans="2:34" x14ac:dyDescent="0.25">
      <c r="B21" s="2"/>
      <c r="C21" s="863"/>
      <c r="D21" s="223" t="s">
        <v>474</v>
      </c>
      <c r="E21" s="676" t="s">
        <v>43</v>
      </c>
      <c r="F21" s="189" t="s">
        <v>425</v>
      </c>
      <c r="G21" s="413">
        <v>44314</v>
      </c>
      <c r="H21" s="413" t="s">
        <v>68</v>
      </c>
      <c r="I21" s="189">
        <v>9</v>
      </c>
      <c r="J21" s="189" t="s">
        <v>54</v>
      </c>
      <c r="K21" s="189" t="s">
        <v>44</v>
      </c>
      <c r="L21" s="414">
        <v>43.79</v>
      </c>
      <c r="M21" s="414" t="s">
        <v>280</v>
      </c>
      <c r="N21" s="414" t="s">
        <v>421</v>
      </c>
      <c r="O21" s="415">
        <f>27110*155</f>
        <v>4202050</v>
      </c>
      <c r="P21" s="415">
        <f t="shared" si="4"/>
        <v>95959.123087462896</v>
      </c>
      <c r="Q21" s="415"/>
      <c r="R21" s="415">
        <v>5469477.6286499994</v>
      </c>
      <c r="S21" s="416">
        <f>+(O21-R21)/R21</f>
        <v>-0.23172736314177619</v>
      </c>
      <c r="T21" s="415"/>
      <c r="U21" s="415"/>
      <c r="V21" s="415"/>
      <c r="W21" s="415">
        <f>+O21</f>
        <v>4202050</v>
      </c>
      <c r="X21" s="415"/>
      <c r="Y21" s="415"/>
      <c r="Z21" s="415"/>
      <c r="AA21" s="415"/>
      <c r="AB21" s="158"/>
      <c r="AC21" s="158"/>
      <c r="AD21" s="158"/>
      <c r="AE21" s="158"/>
      <c r="AF21" s="417">
        <f t="shared" si="3"/>
        <v>4202050</v>
      </c>
      <c r="AG21" s="421" t="s">
        <v>430</v>
      </c>
      <c r="AH21" s="1">
        <v>155</v>
      </c>
    </row>
    <row r="22" spans="2:34" x14ac:dyDescent="0.25">
      <c r="B22" s="2"/>
      <c r="C22" s="863"/>
      <c r="D22" s="223" t="s">
        <v>474</v>
      </c>
      <c r="E22" s="676" t="s">
        <v>43</v>
      </c>
      <c r="F22" s="189" t="s">
        <v>425</v>
      </c>
      <c r="G22" s="413">
        <v>44405</v>
      </c>
      <c r="H22" s="413" t="s">
        <v>68</v>
      </c>
      <c r="I22" s="189">
        <v>12</v>
      </c>
      <c r="J22" s="189" t="s">
        <v>54</v>
      </c>
      <c r="K22" s="189" t="s">
        <v>44</v>
      </c>
      <c r="L22" s="414">
        <v>58.78</v>
      </c>
      <c r="M22" s="414" t="s">
        <v>280</v>
      </c>
      <c r="N22" s="414" t="s">
        <v>421</v>
      </c>
      <c r="O22" s="415">
        <f>36390*155</f>
        <v>5640450</v>
      </c>
      <c r="P22" s="415">
        <f t="shared" si="4"/>
        <v>95958.659407961895</v>
      </c>
      <c r="Q22" s="415"/>
      <c r="R22" s="415">
        <v>6788502.2000000002</v>
      </c>
      <c r="S22" s="416">
        <f t="shared" si="5"/>
        <v>-0.16911715812657468</v>
      </c>
      <c r="T22" s="415"/>
      <c r="U22" s="415"/>
      <c r="V22" s="415"/>
      <c r="W22" s="415">
        <f>+O22</f>
        <v>5640450</v>
      </c>
      <c r="X22" s="415"/>
      <c r="Y22" s="415"/>
      <c r="Z22" s="415"/>
      <c r="AA22" s="415"/>
      <c r="AB22" s="158"/>
      <c r="AC22" s="158"/>
      <c r="AD22" s="158"/>
      <c r="AE22" s="158"/>
      <c r="AF22" s="417">
        <f t="shared" si="3"/>
        <v>5640450</v>
      </c>
      <c r="AG22" s="421" t="s">
        <v>430</v>
      </c>
      <c r="AH22" s="1">
        <v>155</v>
      </c>
    </row>
    <row r="23" spans="2:34" x14ac:dyDescent="0.25">
      <c r="B23" s="2"/>
      <c r="C23" s="863"/>
      <c r="D23" s="223" t="s">
        <v>474</v>
      </c>
      <c r="E23" s="676" t="s">
        <v>43</v>
      </c>
      <c r="F23" s="189" t="s">
        <v>429</v>
      </c>
      <c r="G23" s="413">
        <v>44315</v>
      </c>
      <c r="H23" s="413" t="s">
        <v>68</v>
      </c>
      <c r="I23" s="189" t="s">
        <v>433</v>
      </c>
      <c r="J23" s="189" t="s">
        <v>54</v>
      </c>
      <c r="K23" s="189" t="s">
        <v>4</v>
      </c>
      <c r="L23" s="414">
        <v>56.71</v>
      </c>
      <c r="M23" s="414" t="s">
        <v>280</v>
      </c>
      <c r="N23" s="414" t="s">
        <v>421</v>
      </c>
      <c r="O23" s="415">
        <v>7000000</v>
      </c>
      <c r="P23" s="415">
        <f>+O23/L23</f>
        <v>123435.02027861048</v>
      </c>
      <c r="Q23" s="415"/>
      <c r="R23" s="415">
        <v>7750867</v>
      </c>
      <c r="S23" s="416">
        <f t="shared" si="5"/>
        <v>-9.6875226990735364E-2</v>
      </c>
      <c r="T23" s="415"/>
      <c r="U23" s="415"/>
      <c r="V23" s="415"/>
      <c r="W23" s="415">
        <f>+O23</f>
        <v>7000000</v>
      </c>
      <c r="X23" s="415"/>
      <c r="Y23" s="415"/>
      <c r="Z23" s="415"/>
      <c r="AA23" s="415"/>
      <c r="AB23" s="158"/>
      <c r="AC23" s="158"/>
      <c r="AD23" s="158"/>
      <c r="AE23" s="158"/>
      <c r="AF23" s="417">
        <f t="shared" si="3"/>
        <v>7000000</v>
      </c>
      <c r="AG23" s="421" t="s">
        <v>435</v>
      </c>
      <c r="AH23" s="1">
        <v>153.5</v>
      </c>
    </row>
    <row r="24" spans="2:34" x14ac:dyDescent="0.25">
      <c r="B24" s="2"/>
      <c r="C24" s="863"/>
      <c r="D24" s="223" t="s">
        <v>474</v>
      </c>
      <c r="E24" s="676" t="s">
        <v>43</v>
      </c>
      <c r="F24" s="189" t="s">
        <v>429</v>
      </c>
      <c r="G24" s="413">
        <v>44315</v>
      </c>
      <c r="H24" s="413" t="s">
        <v>68</v>
      </c>
      <c r="I24" s="189" t="s">
        <v>434</v>
      </c>
      <c r="J24" s="189" t="s">
        <v>54</v>
      </c>
      <c r="K24" s="189" t="s">
        <v>4</v>
      </c>
      <c r="L24" s="414">
        <v>56.71</v>
      </c>
      <c r="M24" s="414" t="s">
        <v>280</v>
      </c>
      <c r="N24" s="414" t="s">
        <v>421</v>
      </c>
      <c r="O24" s="415">
        <v>7000000</v>
      </c>
      <c r="P24" s="415">
        <f t="shared" ref="P24:P25" si="7">+O24/L24</f>
        <v>123435.02027861048</v>
      </c>
      <c r="Q24" s="415"/>
      <c r="R24" s="415">
        <v>7750867</v>
      </c>
      <c r="S24" s="416">
        <f t="shared" si="5"/>
        <v>-9.6875226990735364E-2</v>
      </c>
      <c r="T24" s="415"/>
      <c r="U24" s="415"/>
      <c r="V24" s="415"/>
      <c r="W24" s="415">
        <f>+O24</f>
        <v>7000000</v>
      </c>
      <c r="X24" s="415"/>
      <c r="Y24" s="415"/>
      <c r="Z24" s="415"/>
      <c r="AA24" s="415"/>
      <c r="AB24" s="158"/>
      <c r="AC24" s="158"/>
      <c r="AD24" s="158"/>
      <c r="AE24" s="158"/>
      <c r="AF24" s="417">
        <f t="shared" si="3"/>
        <v>7000000</v>
      </c>
      <c r="AG24" s="421" t="s">
        <v>435</v>
      </c>
      <c r="AH24" s="1">
        <v>153.5</v>
      </c>
    </row>
    <row r="25" spans="2:34" x14ac:dyDescent="0.25">
      <c r="B25" s="2"/>
      <c r="C25" s="863"/>
      <c r="D25" s="223" t="s">
        <v>475</v>
      </c>
      <c r="E25" s="676" t="s">
        <v>43</v>
      </c>
      <c r="F25" s="189" t="s">
        <v>432</v>
      </c>
      <c r="G25" s="413">
        <v>44316</v>
      </c>
      <c r="H25" s="413" t="s">
        <v>68</v>
      </c>
      <c r="I25" s="189" t="s">
        <v>437</v>
      </c>
      <c r="J25" s="189" t="s">
        <v>54</v>
      </c>
      <c r="K25" s="189" t="s">
        <v>365</v>
      </c>
      <c r="L25" s="414">
        <v>41.56</v>
      </c>
      <c r="M25" s="414" t="s">
        <v>280</v>
      </c>
      <c r="N25" s="414" t="s">
        <v>421</v>
      </c>
      <c r="O25" s="415">
        <f>26187*153.5</f>
        <v>4019704.5</v>
      </c>
      <c r="P25" s="415">
        <f t="shared" si="7"/>
        <v>96720.512512030793</v>
      </c>
      <c r="Q25" s="415"/>
      <c r="R25" s="415">
        <v>4495438</v>
      </c>
      <c r="S25" s="416">
        <f t="shared" si="5"/>
        <v>-0.1058258394398944</v>
      </c>
      <c r="T25" s="415"/>
      <c r="U25" s="415"/>
      <c r="V25" s="415"/>
      <c r="W25" s="415">
        <f>+O25</f>
        <v>4019704.5</v>
      </c>
      <c r="X25" s="415"/>
      <c r="Y25" s="415"/>
      <c r="Z25" s="415"/>
      <c r="AA25" s="415"/>
      <c r="AB25" s="158"/>
      <c r="AC25" s="158"/>
      <c r="AD25" s="158"/>
      <c r="AE25" s="158"/>
      <c r="AF25" s="417">
        <f t="shared" si="3"/>
        <v>4019704.5</v>
      </c>
      <c r="AG25" s="421" t="s">
        <v>436</v>
      </c>
      <c r="AH25" s="1">
        <v>153.5</v>
      </c>
    </row>
    <row r="26" spans="2:34" x14ac:dyDescent="0.25">
      <c r="B26" s="2"/>
      <c r="C26" s="863"/>
      <c r="D26" s="223" t="s">
        <v>475</v>
      </c>
      <c r="E26" s="676" t="s">
        <v>43</v>
      </c>
      <c r="F26" s="189" t="s">
        <v>432</v>
      </c>
      <c r="G26" s="413">
        <v>44316</v>
      </c>
      <c r="H26" s="413" t="s">
        <v>68</v>
      </c>
      <c r="I26" s="189" t="s">
        <v>438</v>
      </c>
      <c r="J26" s="189" t="s">
        <v>54</v>
      </c>
      <c r="K26" s="189" t="s">
        <v>365</v>
      </c>
      <c r="L26" s="414">
        <v>33.68</v>
      </c>
      <c r="M26" s="414" t="s">
        <v>280</v>
      </c>
      <c r="N26" s="414" t="s">
        <v>421</v>
      </c>
      <c r="O26" s="415">
        <f>21221*153.5</f>
        <v>3257423.5</v>
      </c>
      <c r="P26" s="415">
        <f t="shared" ref="P26:P40" si="8">+O26/L26</f>
        <v>96716.849762470316</v>
      </c>
      <c r="Q26" s="415"/>
      <c r="R26" s="415">
        <v>3642957</v>
      </c>
      <c r="S26" s="416">
        <f t="shared" ref="S26:S40" si="9">+(O26-R26)/R26</f>
        <v>-0.1058298245079478</v>
      </c>
      <c r="T26" s="415"/>
      <c r="U26" s="415"/>
      <c r="V26" s="415"/>
      <c r="W26" s="415">
        <f t="shared" ref="W26:W27" si="10">+O26</f>
        <v>3257423.5</v>
      </c>
      <c r="X26" s="415"/>
      <c r="Y26" s="415"/>
      <c r="Z26" s="415"/>
      <c r="AA26" s="415"/>
      <c r="AB26" s="158"/>
      <c r="AC26" s="158"/>
      <c r="AD26" s="158"/>
      <c r="AE26" s="158"/>
      <c r="AF26" s="417">
        <f t="shared" si="3"/>
        <v>3257423.5</v>
      </c>
      <c r="AG26" s="421" t="s">
        <v>436</v>
      </c>
      <c r="AH26" s="1">
        <v>153.5</v>
      </c>
    </row>
    <row r="27" spans="2:34" ht="15.75" thickBot="1" x14ac:dyDescent="0.3">
      <c r="B27" s="2"/>
      <c r="C27" s="864"/>
      <c r="D27" s="223" t="s">
        <v>475</v>
      </c>
      <c r="E27" s="3" t="s">
        <v>43</v>
      </c>
      <c r="F27" s="56" t="s">
        <v>432</v>
      </c>
      <c r="G27" s="194">
        <v>44316</v>
      </c>
      <c r="H27" s="194" t="s">
        <v>68</v>
      </c>
      <c r="I27" s="56" t="s">
        <v>439</v>
      </c>
      <c r="J27" s="56" t="s">
        <v>54</v>
      </c>
      <c r="K27" s="56" t="s">
        <v>44</v>
      </c>
      <c r="L27" s="195">
        <v>43.79</v>
      </c>
      <c r="M27" s="195" t="s">
        <v>280</v>
      </c>
      <c r="N27" s="195" t="s">
        <v>421</v>
      </c>
      <c r="O27" s="196">
        <f>27592*153.5</f>
        <v>4235372</v>
      </c>
      <c r="P27" s="196">
        <f t="shared" si="8"/>
        <v>96720.073076044762</v>
      </c>
      <c r="Q27" s="196"/>
      <c r="R27" s="196">
        <v>5578715</v>
      </c>
      <c r="S27" s="384">
        <f t="shared" si="9"/>
        <v>-0.24079792568718783</v>
      </c>
      <c r="T27" s="196"/>
      <c r="U27" s="196"/>
      <c r="V27" s="196"/>
      <c r="W27" s="196">
        <f t="shared" si="10"/>
        <v>4235372</v>
      </c>
      <c r="X27" s="196"/>
      <c r="Y27" s="196"/>
      <c r="Z27" s="196"/>
      <c r="AA27" s="196"/>
      <c r="AB27" s="57"/>
      <c r="AC27" s="57"/>
      <c r="AD27" s="57"/>
      <c r="AE27" s="57"/>
      <c r="AF27" s="143">
        <f t="shared" si="3"/>
        <v>4235372</v>
      </c>
      <c r="AG27" s="667" t="s">
        <v>436</v>
      </c>
      <c r="AH27" s="1">
        <v>153.5</v>
      </c>
    </row>
    <row r="28" spans="2:34" x14ac:dyDescent="0.25">
      <c r="B28" s="2"/>
      <c r="C28" s="865" t="s">
        <v>15</v>
      </c>
      <c r="D28" s="223" t="s">
        <v>70</v>
      </c>
      <c r="E28" s="19" t="s">
        <v>43</v>
      </c>
      <c r="F28" s="33" t="s">
        <v>444</v>
      </c>
      <c r="G28" s="564">
        <v>44356</v>
      </c>
      <c r="H28" s="564" t="s">
        <v>60</v>
      </c>
      <c r="I28" s="33" t="s">
        <v>445</v>
      </c>
      <c r="J28" s="33" t="s">
        <v>55</v>
      </c>
      <c r="K28" s="33" t="s">
        <v>365</v>
      </c>
      <c r="L28" s="565">
        <v>22.015137457961892</v>
      </c>
      <c r="M28" s="565" t="s">
        <v>280</v>
      </c>
      <c r="N28" s="565" t="s">
        <v>423</v>
      </c>
      <c r="O28" s="226">
        <f t="shared" ref="O28:O29" si="11">+P28*L28</f>
        <v>1782502.7166780445</v>
      </c>
      <c r="P28" s="298">
        <v>80967.14</v>
      </c>
      <c r="Q28" s="298">
        <f>+O28</f>
        <v>1782502.7166780445</v>
      </c>
      <c r="R28" s="298">
        <v>1841063.6868006219</v>
      </c>
      <c r="S28" s="381">
        <f t="shared" ref="S28:S34" si="12">+(O28-R28)/R28</f>
        <v>-3.1808226158837521E-2</v>
      </c>
      <c r="T28" s="782"/>
      <c r="U28" s="298"/>
      <c r="V28" s="298"/>
      <c r="W28" s="298"/>
      <c r="X28" s="298"/>
      <c r="Y28" s="298">
        <f t="shared" ref="Y28:Y34" si="13">+O28</f>
        <v>1782502.7166780445</v>
      </c>
      <c r="Z28" s="298"/>
      <c r="AA28" s="298"/>
      <c r="AB28" s="43"/>
      <c r="AC28" s="43"/>
      <c r="AD28" s="43"/>
      <c r="AE28" s="43"/>
      <c r="AF28" s="478">
        <f t="shared" ref="AF28:AF34" si="14">SUM(T28:AE28)</f>
        <v>1782502.7166780445</v>
      </c>
      <c r="AG28" s="566" t="s">
        <v>452</v>
      </c>
      <c r="AH28" s="1">
        <v>154</v>
      </c>
    </row>
    <row r="29" spans="2:34" x14ac:dyDescent="0.25">
      <c r="B29" s="2"/>
      <c r="C29" s="866"/>
      <c r="D29" s="223" t="s">
        <v>70</v>
      </c>
      <c r="E29" s="222" t="s">
        <v>43</v>
      </c>
      <c r="F29" s="223" t="s">
        <v>444</v>
      </c>
      <c r="G29" s="224">
        <v>44356</v>
      </c>
      <c r="H29" s="224" t="s">
        <v>60</v>
      </c>
      <c r="I29" s="223" t="s">
        <v>446</v>
      </c>
      <c r="J29" s="223" t="s">
        <v>55</v>
      </c>
      <c r="K29" s="223" t="s">
        <v>365</v>
      </c>
      <c r="L29" s="225">
        <v>22.015137457961892</v>
      </c>
      <c r="M29" s="225" t="s">
        <v>280</v>
      </c>
      <c r="N29" s="225" t="s">
        <v>423</v>
      </c>
      <c r="O29" s="226">
        <f t="shared" si="11"/>
        <v>1782502.7166780445</v>
      </c>
      <c r="P29" s="298">
        <v>80967.14</v>
      </c>
      <c r="Q29" s="298">
        <f t="shared" ref="Q29:Q34" si="15">+O29</f>
        <v>1782502.7166780445</v>
      </c>
      <c r="R29" s="226">
        <v>1841063.6868006219</v>
      </c>
      <c r="S29" s="380">
        <f t="shared" si="12"/>
        <v>-3.1808226158837521E-2</v>
      </c>
      <c r="T29" s="653"/>
      <c r="U29" s="226"/>
      <c r="V29" s="226"/>
      <c r="W29" s="226"/>
      <c r="X29" s="226"/>
      <c r="Y29" s="226">
        <f t="shared" si="13"/>
        <v>1782502.7166780445</v>
      </c>
      <c r="Z29" s="226"/>
      <c r="AA29" s="226"/>
      <c r="AB29" s="49"/>
      <c r="AC29" s="49"/>
      <c r="AD29" s="49"/>
      <c r="AE29" s="49"/>
      <c r="AF29" s="204">
        <f t="shared" si="14"/>
        <v>1782502.7166780445</v>
      </c>
      <c r="AG29" s="227" t="s">
        <v>452</v>
      </c>
      <c r="AH29" s="1">
        <v>154</v>
      </c>
    </row>
    <row r="30" spans="2:34" x14ac:dyDescent="0.25">
      <c r="B30" s="2"/>
      <c r="C30" s="866"/>
      <c r="D30" s="223" t="s">
        <v>70</v>
      </c>
      <c r="E30" s="222" t="s">
        <v>43</v>
      </c>
      <c r="F30" s="223" t="s">
        <v>444</v>
      </c>
      <c r="G30" s="224">
        <v>44356</v>
      </c>
      <c r="H30" s="224" t="s">
        <v>60</v>
      </c>
      <c r="I30" s="223" t="s">
        <v>447</v>
      </c>
      <c r="J30" s="223" t="s">
        <v>54</v>
      </c>
      <c r="K30" s="223" t="s">
        <v>365</v>
      </c>
      <c r="L30" s="225">
        <v>65.078243090401983</v>
      </c>
      <c r="M30" s="225" t="s">
        <v>280</v>
      </c>
      <c r="N30" s="225" t="s">
        <v>423</v>
      </c>
      <c r="O30" s="226">
        <f>+P30*L30</f>
        <v>6445985.0101084057</v>
      </c>
      <c r="P30" s="226">
        <v>99049.77</v>
      </c>
      <c r="Q30" s="298">
        <f t="shared" si="15"/>
        <v>6445985.0101084057</v>
      </c>
      <c r="R30" s="226">
        <v>6704294.2233652612</v>
      </c>
      <c r="S30" s="380">
        <f t="shared" si="12"/>
        <v>-3.8528919622384299E-2</v>
      </c>
      <c r="T30" s="653"/>
      <c r="U30" s="226"/>
      <c r="V30" s="226"/>
      <c r="W30" s="226"/>
      <c r="X30" s="226"/>
      <c r="Y30" s="226">
        <f t="shared" si="13"/>
        <v>6445985.0101084057</v>
      </c>
      <c r="Z30" s="226"/>
      <c r="AA30" s="226"/>
      <c r="AB30" s="49"/>
      <c r="AC30" s="49"/>
      <c r="AD30" s="49"/>
      <c r="AE30" s="49"/>
      <c r="AF30" s="204">
        <f t="shared" si="14"/>
        <v>6445985.0101084057</v>
      </c>
      <c r="AG30" s="227" t="s">
        <v>452</v>
      </c>
      <c r="AH30" s="1">
        <v>154</v>
      </c>
    </row>
    <row r="31" spans="2:34" x14ac:dyDescent="0.25">
      <c r="B31" s="2"/>
      <c r="C31" s="866"/>
      <c r="D31" s="223" t="s">
        <v>70</v>
      </c>
      <c r="E31" s="318" t="s">
        <v>43</v>
      </c>
      <c r="F31" s="223" t="s">
        <v>444</v>
      </c>
      <c r="G31" s="224">
        <v>44356</v>
      </c>
      <c r="H31" s="224" t="s">
        <v>60</v>
      </c>
      <c r="I31" s="223" t="s">
        <v>448</v>
      </c>
      <c r="J31" s="223" t="s">
        <v>54</v>
      </c>
      <c r="K31" s="223" t="s">
        <v>365</v>
      </c>
      <c r="L31" s="225">
        <v>62.005000000000003</v>
      </c>
      <c r="M31" s="225" t="s">
        <v>280</v>
      </c>
      <c r="N31" s="225" t="s">
        <v>423</v>
      </c>
      <c r="O31" s="226">
        <f t="shared" ref="O31:O34" si="16">+P31*L31</f>
        <v>6141580.9888500003</v>
      </c>
      <c r="P31" s="226">
        <v>99049.77</v>
      </c>
      <c r="Q31" s="298">
        <f t="shared" si="15"/>
        <v>6141580.9888500003</v>
      </c>
      <c r="R31" s="304">
        <v>6578276.1272068592</v>
      </c>
      <c r="S31" s="382">
        <f t="shared" si="12"/>
        <v>-6.6384434145405805E-2</v>
      </c>
      <c r="T31" s="655"/>
      <c r="U31" s="304"/>
      <c r="V31" s="304"/>
      <c r="W31" s="304"/>
      <c r="X31" s="304"/>
      <c r="Y31" s="226">
        <f t="shared" si="13"/>
        <v>6141580.9888500003</v>
      </c>
      <c r="Z31" s="304"/>
      <c r="AA31" s="304"/>
      <c r="AB31" s="305"/>
      <c r="AC31" s="305"/>
      <c r="AD31" s="305"/>
      <c r="AE31" s="305"/>
      <c r="AF31" s="204">
        <f t="shared" si="14"/>
        <v>6141580.9888500003</v>
      </c>
      <c r="AG31" s="227" t="s">
        <v>452</v>
      </c>
      <c r="AH31" s="1">
        <v>154</v>
      </c>
    </row>
    <row r="32" spans="2:34" x14ac:dyDescent="0.25">
      <c r="B32" s="2"/>
      <c r="C32" s="866"/>
      <c r="D32" s="223" t="s">
        <v>70</v>
      </c>
      <c r="E32" s="318" t="s">
        <v>43</v>
      </c>
      <c r="F32" s="223" t="s">
        <v>444</v>
      </c>
      <c r="G32" s="224">
        <v>44356</v>
      </c>
      <c r="H32" s="224" t="s">
        <v>60</v>
      </c>
      <c r="I32" s="223" t="s">
        <v>449</v>
      </c>
      <c r="J32" s="223" t="s">
        <v>54</v>
      </c>
      <c r="K32" s="223" t="s">
        <v>365</v>
      </c>
      <c r="L32" s="225">
        <v>65.078243090401983</v>
      </c>
      <c r="M32" s="225" t="s">
        <v>280</v>
      </c>
      <c r="N32" s="225" t="s">
        <v>423</v>
      </c>
      <c r="O32" s="226">
        <f t="shared" si="16"/>
        <v>6445985.0101084057</v>
      </c>
      <c r="P32" s="226">
        <v>99049.77</v>
      </c>
      <c r="Q32" s="298">
        <f t="shared" si="15"/>
        <v>6445985.0101084057</v>
      </c>
      <c r="R32" s="304">
        <v>6704294.2233652612</v>
      </c>
      <c r="S32" s="382">
        <f t="shared" si="12"/>
        <v>-3.8528919622384299E-2</v>
      </c>
      <c r="T32" s="655"/>
      <c r="U32" s="304"/>
      <c r="V32" s="304"/>
      <c r="W32" s="304"/>
      <c r="X32" s="304"/>
      <c r="Y32" s="226">
        <f t="shared" si="13"/>
        <v>6445985.0101084057</v>
      </c>
      <c r="Z32" s="304"/>
      <c r="AA32" s="304"/>
      <c r="AB32" s="305"/>
      <c r="AC32" s="305"/>
      <c r="AD32" s="305"/>
      <c r="AE32" s="305"/>
      <c r="AF32" s="204">
        <f t="shared" si="14"/>
        <v>6445985.0101084057</v>
      </c>
      <c r="AG32" s="227" t="s">
        <v>452</v>
      </c>
      <c r="AH32" s="1">
        <v>154</v>
      </c>
    </row>
    <row r="33" spans="2:34" x14ac:dyDescent="0.25">
      <c r="B33" s="2"/>
      <c r="C33" s="866"/>
      <c r="D33" s="223" t="s">
        <v>70</v>
      </c>
      <c r="E33" s="318" t="s">
        <v>43</v>
      </c>
      <c r="F33" s="223" t="s">
        <v>444</v>
      </c>
      <c r="G33" s="224">
        <v>44356</v>
      </c>
      <c r="H33" s="224" t="s">
        <v>60</v>
      </c>
      <c r="I33" s="223" t="s">
        <v>450</v>
      </c>
      <c r="J33" s="223" t="s">
        <v>54</v>
      </c>
      <c r="K33" s="223" t="s">
        <v>365</v>
      </c>
      <c r="L33" s="225">
        <v>62.005000000000003</v>
      </c>
      <c r="M33" s="225" t="s">
        <v>280</v>
      </c>
      <c r="N33" s="225" t="s">
        <v>423</v>
      </c>
      <c r="O33" s="226">
        <f t="shared" si="16"/>
        <v>6141580.9888500003</v>
      </c>
      <c r="P33" s="226">
        <v>99049.77</v>
      </c>
      <c r="Q33" s="298">
        <f t="shared" si="15"/>
        <v>6141580.9888500003</v>
      </c>
      <c r="R33" s="304">
        <v>6578276.1272068592</v>
      </c>
      <c r="S33" s="382">
        <f t="shared" si="12"/>
        <v>-6.6384434145405805E-2</v>
      </c>
      <c r="T33" s="655"/>
      <c r="U33" s="304"/>
      <c r="V33" s="304"/>
      <c r="W33" s="304"/>
      <c r="X33" s="304"/>
      <c r="Y33" s="226">
        <f t="shared" si="13"/>
        <v>6141580.9888500003</v>
      </c>
      <c r="Z33" s="304"/>
      <c r="AA33" s="304"/>
      <c r="AB33" s="305"/>
      <c r="AC33" s="305"/>
      <c r="AD33" s="305"/>
      <c r="AE33" s="305"/>
      <c r="AF33" s="204">
        <f t="shared" si="14"/>
        <v>6141580.9888500003</v>
      </c>
      <c r="AG33" s="227" t="s">
        <v>452</v>
      </c>
      <c r="AH33" s="1">
        <v>154</v>
      </c>
    </row>
    <row r="34" spans="2:34" ht="15.75" thickBot="1" x14ac:dyDescent="0.3">
      <c r="B34" s="2"/>
      <c r="C34" s="866"/>
      <c r="D34" s="301" t="s">
        <v>70</v>
      </c>
      <c r="E34" s="318" t="s">
        <v>43</v>
      </c>
      <c r="F34" s="301" t="s">
        <v>444</v>
      </c>
      <c r="G34" s="302">
        <v>44356</v>
      </c>
      <c r="H34" s="302" t="s">
        <v>60</v>
      </c>
      <c r="I34" s="301" t="s">
        <v>451</v>
      </c>
      <c r="J34" s="301" t="s">
        <v>54</v>
      </c>
      <c r="K34" s="301" t="s">
        <v>365</v>
      </c>
      <c r="L34" s="303">
        <v>65.078243090401983</v>
      </c>
      <c r="M34" s="303" t="s">
        <v>280</v>
      </c>
      <c r="N34" s="303" t="s">
        <v>423</v>
      </c>
      <c r="O34" s="304">
        <f t="shared" si="16"/>
        <v>6445985.0101084057</v>
      </c>
      <c r="P34" s="304">
        <v>99049.77</v>
      </c>
      <c r="Q34" s="304">
        <f t="shared" si="15"/>
        <v>6445985.0101084057</v>
      </c>
      <c r="R34" s="304">
        <v>6704294.2233652612</v>
      </c>
      <c r="S34" s="382">
        <f t="shared" si="12"/>
        <v>-3.8528919622384299E-2</v>
      </c>
      <c r="T34" s="655"/>
      <c r="U34" s="304"/>
      <c r="V34" s="304"/>
      <c r="W34" s="304"/>
      <c r="X34" s="304"/>
      <c r="Y34" s="304">
        <f t="shared" si="13"/>
        <v>6445985.0101084057</v>
      </c>
      <c r="Z34" s="304"/>
      <c r="AA34" s="304"/>
      <c r="AB34" s="305"/>
      <c r="AC34" s="305"/>
      <c r="AD34" s="305"/>
      <c r="AE34" s="305"/>
      <c r="AF34" s="300">
        <f t="shared" si="14"/>
        <v>6445985.0101084057</v>
      </c>
      <c r="AG34" s="320" t="s">
        <v>452</v>
      </c>
      <c r="AH34" s="1">
        <v>154</v>
      </c>
    </row>
    <row r="35" spans="2:34" ht="15" customHeight="1" x14ac:dyDescent="0.25">
      <c r="B35" s="2"/>
      <c r="C35" s="861" t="s">
        <v>24</v>
      </c>
      <c r="D35" s="200" t="s">
        <v>474</v>
      </c>
      <c r="E35" s="220" t="s">
        <v>110</v>
      </c>
      <c r="F35" s="200" t="s">
        <v>440</v>
      </c>
      <c r="G35" s="201">
        <v>44350</v>
      </c>
      <c r="H35" s="201" t="s">
        <v>68</v>
      </c>
      <c r="I35" s="200" t="s">
        <v>441</v>
      </c>
      <c r="J35" s="200" t="s">
        <v>54</v>
      </c>
      <c r="K35" s="200" t="s">
        <v>6</v>
      </c>
      <c r="L35" s="202">
        <v>47.2</v>
      </c>
      <c r="M35" s="202" t="s">
        <v>280</v>
      </c>
      <c r="N35" s="202" t="s">
        <v>421</v>
      </c>
      <c r="O35" s="203">
        <f>33500*154</f>
        <v>5159000</v>
      </c>
      <c r="P35" s="203">
        <f t="shared" si="8"/>
        <v>109300.84745762711</v>
      </c>
      <c r="Q35" s="203">
        <f>+O35</f>
        <v>5159000</v>
      </c>
      <c r="R35" s="203">
        <v>5535356</v>
      </c>
      <c r="S35" s="379">
        <f t="shared" si="9"/>
        <v>-6.7991290894388726E-2</v>
      </c>
      <c r="T35" s="677"/>
      <c r="U35" s="203"/>
      <c r="V35" s="203"/>
      <c r="W35" s="203"/>
      <c r="X35" s="203"/>
      <c r="Y35" s="203">
        <f>+O35</f>
        <v>5159000</v>
      </c>
      <c r="Z35" s="203"/>
      <c r="AA35" s="203"/>
      <c r="AB35" s="663"/>
      <c r="AC35" s="663"/>
      <c r="AD35" s="663"/>
      <c r="AE35" s="663"/>
      <c r="AF35" s="358">
        <f t="shared" si="3"/>
        <v>5159000</v>
      </c>
      <c r="AG35" s="664" t="s">
        <v>442</v>
      </c>
      <c r="AH35" s="1">
        <v>154</v>
      </c>
    </row>
    <row r="36" spans="2:34" x14ac:dyDescent="0.25">
      <c r="B36" s="2"/>
      <c r="C36" s="863"/>
      <c r="D36" s="223" t="s">
        <v>474</v>
      </c>
      <c r="E36" s="222" t="s">
        <v>110</v>
      </c>
      <c r="F36" s="223" t="s">
        <v>443</v>
      </c>
      <c r="G36" s="224">
        <v>44357</v>
      </c>
      <c r="H36" s="224" t="s">
        <v>68</v>
      </c>
      <c r="I36" s="223" t="s">
        <v>453</v>
      </c>
      <c r="J36" s="223" t="s">
        <v>54</v>
      </c>
      <c r="K36" s="223" t="s">
        <v>6</v>
      </c>
      <c r="L36" s="225">
        <v>75.67</v>
      </c>
      <c r="M36" s="225" t="s">
        <v>280</v>
      </c>
      <c r="N36" s="225" t="s">
        <v>421</v>
      </c>
      <c r="O36" s="226">
        <v>8998261.4000000004</v>
      </c>
      <c r="P36" s="226">
        <f t="shared" si="8"/>
        <v>118914.51566010308</v>
      </c>
      <c r="Q36" s="226">
        <v>8654466.3898115139</v>
      </c>
      <c r="R36" s="226">
        <v>10334857</v>
      </c>
      <c r="S36" s="380">
        <f t="shared" si="9"/>
        <v>-0.12932889153667049</v>
      </c>
      <c r="T36" s="653"/>
      <c r="U36" s="226"/>
      <c r="V36" s="226"/>
      <c r="W36" s="226"/>
      <c r="X36" s="226"/>
      <c r="Y36" s="226">
        <f>+O36</f>
        <v>8998261.4000000004</v>
      </c>
      <c r="Z36" s="226"/>
      <c r="AA36" s="226"/>
      <c r="AB36" s="49"/>
      <c r="AC36" s="49"/>
      <c r="AD36" s="49"/>
      <c r="AE36" s="49"/>
      <c r="AF36" s="204">
        <f t="shared" si="3"/>
        <v>8998261.4000000004</v>
      </c>
      <c r="AG36" s="227" t="s">
        <v>455</v>
      </c>
      <c r="AH36" s="1">
        <v>151</v>
      </c>
    </row>
    <row r="37" spans="2:34" x14ac:dyDescent="0.25">
      <c r="B37" s="2"/>
      <c r="C37" s="863"/>
      <c r="D37" s="223" t="s">
        <v>474</v>
      </c>
      <c r="E37" s="222" t="s">
        <v>110</v>
      </c>
      <c r="F37" s="223" t="s">
        <v>443</v>
      </c>
      <c r="G37" s="224">
        <v>44357</v>
      </c>
      <c r="H37" s="224" t="s">
        <v>68</v>
      </c>
      <c r="I37" s="223" t="s">
        <v>454</v>
      </c>
      <c r="J37" s="223" t="s">
        <v>54</v>
      </c>
      <c r="K37" s="223" t="s">
        <v>6</v>
      </c>
      <c r="L37" s="225">
        <v>75.67</v>
      </c>
      <c r="M37" s="225" t="s">
        <v>280</v>
      </c>
      <c r="N37" s="225" t="s">
        <v>421</v>
      </c>
      <c r="O37" s="226">
        <v>8998261.4000000004</v>
      </c>
      <c r="P37" s="226">
        <f t="shared" si="8"/>
        <v>118914.51566010308</v>
      </c>
      <c r="Q37" s="226">
        <v>8654466.3898115139</v>
      </c>
      <c r="R37" s="226">
        <v>10334857</v>
      </c>
      <c r="S37" s="380">
        <f t="shared" si="9"/>
        <v>-0.12932889153667049</v>
      </c>
      <c r="T37" s="653"/>
      <c r="U37" s="226"/>
      <c r="V37" s="226"/>
      <c r="W37" s="226"/>
      <c r="X37" s="226"/>
      <c r="Y37" s="226">
        <f t="shared" ref="Y37:Y38" si="17">+O37</f>
        <v>8998261.4000000004</v>
      </c>
      <c r="Z37" s="226"/>
      <c r="AA37" s="226"/>
      <c r="AB37" s="49"/>
      <c r="AC37" s="49"/>
      <c r="AD37" s="49"/>
      <c r="AE37" s="49"/>
      <c r="AF37" s="204">
        <f t="shared" si="3"/>
        <v>8998261.4000000004</v>
      </c>
      <c r="AG37" s="227" t="s">
        <v>455</v>
      </c>
      <c r="AH37" s="1">
        <v>151</v>
      </c>
    </row>
    <row r="38" spans="2:34" x14ac:dyDescent="0.25">
      <c r="B38" s="2"/>
      <c r="C38" s="863"/>
      <c r="D38" s="223" t="s">
        <v>474</v>
      </c>
      <c r="E38" s="222" t="s">
        <v>110</v>
      </c>
      <c r="F38" s="223" t="s">
        <v>443</v>
      </c>
      <c r="G38" s="224">
        <v>44357</v>
      </c>
      <c r="H38" s="224" t="s">
        <v>68</v>
      </c>
      <c r="I38" s="223" t="s">
        <v>456</v>
      </c>
      <c r="J38" s="223" t="s">
        <v>55</v>
      </c>
      <c r="K38" s="223" t="s">
        <v>6</v>
      </c>
      <c r="L38" s="225">
        <v>19.43</v>
      </c>
      <c r="M38" s="225" t="s">
        <v>280</v>
      </c>
      <c r="N38" s="225" t="s">
        <v>421</v>
      </c>
      <c r="O38" s="226">
        <v>1633477.2</v>
      </c>
      <c r="P38" s="226">
        <f t="shared" si="8"/>
        <v>84069.850746268654</v>
      </c>
      <c r="Q38" s="226">
        <v>1571067.220376974</v>
      </c>
      <c r="R38" s="226">
        <v>1944943</v>
      </c>
      <c r="S38" s="380">
        <f t="shared" si="9"/>
        <v>-0.16014135118612732</v>
      </c>
      <c r="T38" s="653"/>
      <c r="U38" s="226"/>
      <c r="V38" s="226"/>
      <c r="W38" s="226"/>
      <c r="X38" s="226"/>
      <c r="Y38" s="226">
        <f t="shared" si="17"/>
        <v>1633477.2</v>
      </c>
      <c r="Z38" s="226"/>
      <c r="AA38" s="226"/>
      <c r="AB38" s="49"/>
      <c r="AC38" s="49"/>
      <c r="AD38" s="49"/>
      <c r="AE38" s="49"/>
      <c r="AF38" s="204">
        <f t="shared" si="3"/>
        <v>1633477.2</v>
      </c>
      <c r="AG38" s="227" t="s">
        <v>455</v>
      </c>
      <c r="AH38" s="1">
        <v>151</v>
      </c>
    </row>
    <row r="39" spans="2:34" x14ac:dyDescent="0.25">
      <c r="B39" s="2"/>
      <c r="C39" s="863"/>
      <c r="D39" s="223" t="s">
        <v>476</v>
      </c>
      <c r="E39" s="222" t="s">
        <v>43</v>
      </c>
      <c r="F39" s="223" t="s">
        <v>457</v>
      </c>
      <c r="G39" s="224">
        <v>44356</v>
      </c>
      <c r="H39" s="224" t="s">
        <v>60</v>
      </c>
      <c r="I39" s="223" t="s">
        <v>458</v>
      </c>
      <c r="J39" s="223" t="s">
        <v>54</v>
      </c>
      <c r="K39" s="223" t="s">
        <v>44</v>
      </c>
      <c r="L39" s="225">
        <v>56</v>
      </c>
      <c r="M39" s="225" t="s">
        <v>280</v>
      </c>
      <c r="N39" s="225" t="s">
        <v>54</v>
      </c>
      <c r="O39" s="226">
        <f>5919585+580500</f>
        <v>6500085</v>
      </c>
      <c r="P39" s="226">
        <f t="shared" si="8"/>
        <v>116072.94642857143</v>
      </c>
      <c r="Q39" s="226">
        <f>+O39</f>
        <v>6500085</v>
      </c>
      <c r="R39" s="226">
        <v>7060032</v>
      </c>
      <c r="S39" s="380">
        <f t="shared" si="9"/>
        <v>-7.9312246743357531E-2</v>
      </c>
      <c r="T39" s="653"/>
      <c r="U39" s="226"/>
      <c r="V39" s="226"/>
      <c r="W39" s="226"/>
      <c r="X39" s="226"/>
      <c r="Y39" s="226">
        <v>580500</v>
      </c>
      <c r="Z39" s="226"/>
      <c r="AA39" s="226"/>
      <c r="AB39" s="49"/>
      <c r="AC39" s="49"/>
      <c r="AD39" s="49"/>
      <c r="AE39" s="49"/>
      <c r="AF39" s="204">
        <f t="shared" si="3"/>
        <v>580500</v>
      </c>
      <c r="AG39" s="227" t="s">
        <v>459</v>
      </c>
      <c r="AH39" s="1">
        <v>154</v>
      </c>
    </row>
    <row r="40" spans="2:34" x14ac:dyDescent="0.25">
      <c r="B40" s="2"/>
      <c r="C40" s="863"/>
      <c r="D40" s="223" t="s">
        <v>477</v>
      </c>
      <c r="E40" s="222" t="s">
        <v>43</v>
      </c>
      <c r="F40" s="223" t="s">
        <v>460</v>
      </c>
      <c r="G40" s="224">
        <v>44357</v>
      </c>
      <c r="H40" s="224" t="s">
        <v>68</v>
      </c>
      <c r="I40" s="223" t="s">
        <v>461</v>
      </c>
      <c r="J40" s="223" t="s">
        <v>54</v>
      </c>
      <c r="K40" s="223" t="s">
        <v>44</v>
      </c>
      <c r="L40" s="225">
        <v>41.35</v>
      </c>
      <c r="M40" s="225" t="s">
        <v>280</v>
      </c>
      <c r="N40" s="225" t="s">
        <v>421</v>
      </c>
      <c r="O40" s="226">
        <v>4962000</v>
      </c>
      <c r="P40" s="226">
        <f t="shared" si="8"/>
        <v>120000</v>
      </c>
      <c r="Q40" s="226">
        <v>4587000</v>
      </c>
      <c r="R40" s="226">
        <v>5473582</v>
      </c>
      <c r="S40" s="380">
        <f t="shared" si="9"/>
        <v>-9.3463841411346352E-2</v>
      </c>
      <c r="T40" s="653"/>
      <c r="U40" s="226"/>
      <c r="V40" s="226"/>
      <c r="W40" s="226"/>
      <c r="X40" s="226"/>
      <c r="Y40" s="226">
        <f>+O40</f>
        <v>4962000</v>
      </c>
      <c r="Z40" s="226"/>
      <c r="AA40" s="226"/>
      <c r="AB40" s="49"/>
      <c r="AC40" s="49"/>
      <c r="AD40" s="49"/>
      <c r="AE40" s="49"/>
      <c r="AF40" s="204">
        <f t="shared" si="3"/>
        <v>4962000</v>
      </c>
      <c r="AG40" s="227" t="s">
        <v>462</v>
      </c>
      <c r="AH40" s="1">
        <v>154</v>
      </c>
    </row>
    <row r="41" spans="2:34" s="296" customFormat="1" ht="15" customHeight="1" x14ac:dyDescent="0.25">
      <c r="B41" s="297"/>
      <c r="C41" s="863"/>
      <c r="D41" s="223" t="s">
        <v>478</v>
      </c>
      <c r="E41" s="222" t="s">
        <v>43</v>
      </c>
      <c r="F41" s="223" t="s">
        <v>465</v>
      </c>
      <c r="G41" s="224">
        <v>44365</v>
      </c>
      <c r="H41" s="224" t="s">
        <v>68</v>
      </c>
      <c r="I41" s="223" t="s">
        <v>466</v>
      </c>
      <c r="J41" s="223" t="s">
        <v>54</v>
      </c>
      <c r="K41" s="223" t="s">
        <v>4</v>
      </c>
      <c r="L41" s="225">
        <v>41.43</v>
      </c>
      <c r="M41" s="225" t="s">
        <v>280</v>
      </c>
      <c r="N41" s="225" t="s">
        <v>421</v>
      </c>
      <c r="O41" s="226">
        <f>34000*156</f>
        <v>5304000</v>
      </c>
      <c r="P41" s="226">
        <f t="shared" ref="P41" si="18">+O41/L41</f>
        <v>128023.17161477191</v>
      </c>
      <c r="Q41" s="226">
        <f>+O41</f>
        <v>5304000</v>
      </c>
      <c r="R41" s="226">
        <v>5919585</v>
      </c>
      <c r="S41" s="380">
        <f t="shared" ref="S41" si="19">+(O41-R41)/R41</f>
        <v>-0.10399124262933973</v>
      </c>
      <c r="T41" s="653"/>
      <c r="U41" s="226"/>
      <c r="V41" s="226"/>
      <c r="W41" s="226"/>
      <c r="X41" s="226"/>
      <c r="Y41" s="226">
        <f>+Q41</f>
        <v>5304000</v>
      </c>
      <c r="Z41" s="226"/>
      <c r="AA41" s="226"/>
      <c r="AB41" s="49"/>
      <c r="AC41" s="49"/>
      <c r="AD41" s="49"/>
      <c r="AE41" s="49"/>
      <c r="AF41" s="204">
        <f t="shared" ref="AF41" si="20">SUM(T41:AE41)</f>
        <v>5304000</v>
      </c>
      <c r="AG41" s="227" t="s">
        <v>467</v>
      </c>
      <c r="AH41" s="774">
        <v>156</v>
      </c>
    </row>
    <row r="42" spans="2:34" s="296" customFormat="1" x14ac:dyDescent="0.25">
      <c r="B42" s="297"/>
      <c r="C42" s="863"/>
      <c r="D42" s="223" t="s">
        <v>478</v>
      </c>
      <c r="E42" s="222" t="s">
        <v>43</v>
      </c>
      <c r="F42" s="223" t="s">
        <v>465</v>
      </c>
      <c r="G42" s="224">
        <v>44365</v>
      </c>
      <c r="H42" s="224" t="s">
        <v>68</v>
      </c>
      <c r="I42" s="223" t="s">
        <v>204</v>
      </c>
      <c r="J42" s="223" t="s">
        <v>54</v>
      </c>
      <c r="K42" s="223" t="s">
        <v>4</v>
      </c>
      <c r="L42" s="225">
        <v>41.43</v>
      </c>
      <c r="M42" s="225" t="s">
        <v>280</v>
      </c>
      <c r="N42" s="225" t="s">
        <v>421</v>
      </c>
      <c r="O42" s="226">
        <f>34000*156</f>
        <v>5304000</v>
      </c>
      <c r="P42" s="226">
        <f t="shared" ref="P42:P44" si="21">+O42/L42</f>
        <v>128023.17161477191</v>
      </c>
      <c r="Q42" s="226">
        <f>+O42</f>
        <v>5304000</v>
      </c>
      <c r="R42" s="226">
        <v>5919585</v>
      </c>
      <c r="S42" s="380">
        <f t="shared" ref="S42" si="22">+(O42-R42)/R42</f>
        <v>-0.10399124262933973</v>
      </c>
      <c r="T42" s="653"/>
      <c r="U42" s="226"/>
      <c r="V42" s="226"/>
      <c r="W42" s="226"/>
      <c r="X42" s="226"/>
      <c r="Y42" s="226">
        <f>+Q42</f>
        <v>5304000</v>
      </c>
      <c r="Z42" s="226"/>
      <c r="AA42" s="226"/>
      <c r="AB42" s="49"/>
      <c r="AC42" s="49"/>
      <c r="AD42" s="49"/>
      <c r="AE42" s="49"/>
      <c r="AF42" s="204">
        <f t="shared" ref="AF42" si="23">SUM(T42:AE42)</f>
        <v>5304000</v>
      </c>
      <c r="AG42" s="227" t="s">
        <v>467</v>
      </c>
      <c r="AH42" s="774">
        <v>156</v>
      </c>
    </row>
    <row r="43" spans="2:34" s="296" customFormat="1" ht="17.25" customHeight="1" x14ac:dyDescent="0.25">
      <c r="B43" s="297"/>
      <c r="C43" s="863"/>
      <c r="D43" s="223" t="s">
        <v>97</v>
      </c>
      <c r="E43" s="222" t="s">
        <v>110</v>
      </c>
      <c r="F43" s="223" t="s">
        <v>471</v>
      </c>
      <c r="G43" s="224">
        <v>44371</v>
      </c>
      <c r="H43" s="224" t="s">
        <v>68</v>
      </c>
      <c r="I43" s="223" t="s">
        <v>469</v>
      </c>
      <c r="J43" s="223" t="s">
        <v>54</v>
      </c>
      <c r="K43" s="223" t="s">
        <v>6</v>
      </c>
      <c r="L43" s="225">
        <v>47.2</v>
      </c>
      <c r="M43" s="225" t="s">
        <v>280</v>
      </c>
      <c r="N43" s="225" t="s">
        <v>421</v>
      </c>
      <c r="O43" s="226">
        <v>5428000</v>
      </c>
      <c r="P43" s="226">
        <f t="shared" si="21"/>
        <v>115000</v>
      </c>
      <c r="Q43" s="226">
        <f>+O43</f>
        <v>5428000</v>
      </c>
      <c r="R43" s="226">
        <v>6571656</v>
      </c>
      <c r="S43" s="380">
        <f>+(O43-R43)/R43</f>
        <v>-0.17402858579329167</v>
      </c>
      <c r="T43" s="226"/>
      <c r="U43" s="226"/>
      <c r="V43" s="226"/>
      <c r="W43" s="226"/>
      <c r="X43" s="226"/>
      <c r="Y43" s="226">
        <f>+Q43</f>
        <v>5428000</v>
      </c>
      <c r="Z43" s="226"/>
      <c r="AA43" s="226"/>
      <c r="AB43" s="226"/>
      <c r="AC43" s="226"/>
      <c r="AD43" s="226"/>
      <c r="AE43" s="226"/>
      <c r="AF43" s="204">
        <f t="shared" si="3"/>
        <v>5428000</v>
      </c>
      <c r="AG43" s="227" t="s">
        <v>470</v>
      </c>
      <c r="AH43" s="774">
        <v>160</v>
      </c>
    </row>
    <row r="44" spans="2:34" s="296" customFormat="1" ht="17.25" customHeight="1" thickBot="1" x14ac:dyDescent="0.3">
      <c r="B44" s="297"/>
      <c r="C44" s="864"/>
      <c r="D44" s="67"/>
      <c r="E44" s="3"/>
      <c r="F44" s="67" t="s">
        <v>479</v>
      </c>
      <c r="G44" s="658">
        <v>44376</v>
      </c>
      <c r="H44" s="224" t="s">
        <v>68</v>
      </c>
      <c r="I44" s="67" t="s">
        <v>480</v>
      </c>
      <c r="J44" s="67" t="s">
        <v>54</v>
      </c>
      <c r="K44" s="67" t="s">
        <v>44</v>
      </c>
      <c r="L44" s="783">
        <v>58.78</v>
      </c>
      <c r="M44" s="783" t="s">
        <v>281</v>
      </c>
      <c r="N44" s="783" t="s">
        <v>421</v>
      </c>
      <c r="O44" s="659">
        <v>6465800</v>
      </c>
      <c r="P44" s="226">
        <f t="shared" si="21"/>
        <v>110000</v>
      </c>
      <c r="Q44" s="659">
        <v>6436993.5630011195</v>
      </c>
      <c r="R44" s="659">
        <v>7194672</v>
      </c>
      <c r="S44" s="660">
        <f>+(O44-R44)/R44</f>
        <v>-0.10130718954248366</v>
      </c>
      <c r="T44" s="659"/>
      <c r="U44" s="659"/>
      <c r="V44" s="659"/>
      <c r="W44" s="659"/>
      <c r="X44" s="659"/>
      <c r="Y44" s="659">
        <f>32200*170.5+200000</f>
        <v>5690100</v>
      </c>
      <c r="Z44" s="659"/>
      <c r="AA44" s="659"/>
      <c r="AB44" s="659"/>
      <c r="AC44" s="659"/>
      <c r="AD44" s="659"/>
      <c r="AE44" s="659"/>
      <c r="AF44" s="204">
        <f t="shared" si="3"/>
        <v>5690100</v>
      </c>
      <c r="AG44" s="486" t="s">
        <v>486</v>
      </c>
      <c r="AH44" s="774">
        <v>170.5</v>
      </c>
    </row>
    <row r="45" spans="2:34" s="296" customFormat="1" hidden="1" x14ac:dyDescent="0.25">
      <c r="B45" s="297"/>
      <c r="C45" s="784"/>
      <c r="D45" s="786"/>
      <c r="E45" s="252"/>
      <c r="F45" s="193"/>
      <c r="G45" s="787"/>
      <c r="H45" s="787"/>
      <c r="I45" s="193"/>
      <c r="J45" s="193"/>
      <c r="K45" s="193"/>
      <c r="L45" s="788"/>
      <c r="M45" s="788"/>
      <c r="N45" s="788"/>
      <c r="O45" s="789"/>
      <c r="P45" s="789"/>
      <c r="Q45" s="789"/>
      <c r="R45" s="789"/>
      <c r="S45" s="790"/>
      <c r="T45" s="789"/>
      <c r="U45" s="789"/>
      <c r="V45" s="789"/>
      <c r="W45" s="789"/>
      <c r="X45" s="789"/>
      <c r="Y45" s="789"/>
      <c r="Z45" s="789"/>
      <c r="AA45" s="789"/>
      <c r="AB45" s="789"/>
      <c r="AC45" s="789"/>
      <c r="AD45" s="789"/>
      <c r="AE45" s="789"/>
      <c r="AF45" s="207">
        <f t="shared" si="3"/>
        <v>0</v>
      </c>
      <c r="AG45" s="791"/>
      <c r="AH45" s="774"/>
    </row>
    <row r="46" spans="2:34" s="296" customFormat="1" ht="21.75" hidden="1" customHeight="1" x14ac:dyDescent="0.25">
      <c r="B46" s="297"/>
      <c r="C46" s="784" t="s">
        <v>29</v>
      </c>
      <c r="D46" s="669"/>
      <c r="E46" s="155"/>
      <c r="F46" s="189"/>
      <c r="G46" s="413"/>
      <c r="H46" s="413"/>
      <c r="I46" s="189"/>
      <c r="J46" s="189"/>
      <c r="K46" s="189"/>
      <c r="L46" s="414"/>
      <c r="M46" s="414"/>
      <c r="N46" s="414"/>
      <c r="O46" s="415"/>
      <c r="P46" s="415"/>
      <c r="Q46" s="415"/>
      <c r="R46" s="415"/>
      <c r="S46" s="416"/>
      <c r="T46" s="415"/>
      <c r="U46" s="415"/>
      <c r="V46" s="415"/>
      <c r="W46" s="415"/>
      <c r="X46" s="415"/>
      <c r="Y46" s="415"/>
      <c r="Z46" s="415"/>
      <c r="AA46" s="415"/>
      <c r="AB46" s="415"/>
      <c r="AC46" s="415"/>
      <c r="AD46" s="415"/>
      <c r="AE46" s="415"/>
      <c r="AF46" s="417">
        <f t="shared" si="3"/>
        <v>0</v>
      </c>
      <c r="AG46" s="670"/>
      <c r="AH46" s="774"/>
    </row>
    <row r="47" spans="2:34" s="296" customFormat="1" ht="15.75" hidden="1" thickBot="1" x14ac:dyDescent="0.3">
      <c r="B47" s="297"/>
      <c r="C47" s="785"/>
      <c r="D47" s="671"/>
      <c r="E47" s="657"/>
      <c r="F47" s="56"/>
      <c r="G47" s="194"/>
      <c r="H47" s="194"/>
      <c r="I47" s="56"/>
      <c r="J47" s="56"/>
      <c r="K47" s="56"/>
      <c r="L47" s="195"/>
      <c r="M47" s="195"/>
      <c r="N47" s="195"/>
      <c r="O47" s="196"/>
      <c r="P47" s="196"/>
      <c r="Q47" s="196"/>
      <c r="R47" s="196"/>
      <c r="S47" s="384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43">
        <f t="shared" si="3"/>
        <v>0</v>
      </c>
      <c r="AG47" s="672"/>
      <c r="AH47" s="774"/>
    </row>
    <row r="48" spans="2:34" hidden="1" x14ac:dyDescent="0.25">
      <c r="B48" s="2"/>
      <c r="C48" s="861" t="s">
        <v>30</v>
      </c>
      <c r="D48" s="662"/>
      <c r="E48" s="220"/>
      <c r="F48" s="200"/>
      <c r="G48" s="201"/>
      <c r="H48" s="201"/>
      <c r="I48" s="200"/>
      <c r="J48" s="200"/>
      <c r="K48" s="200"/>
      <c r="L48" s="202"/>
      <c r="M48" s="202"/>
      <c r="N48" s="202"/>
      <c r="O48" s="203"/>
      <c r="P48" s="203"/>
      <c r="Q48" s="203"/>
      <c r="R48" s="203"/>
      <c r="S48" s="379"/>
      <c r="T48" s="677"/>
      <c r="U48" s="203"/>
      <c r="V48" s="203"/>
      <c r="W48" s="203"/>
      <c r="X48" s="203"/>
      <c r="Y48" s="203"/>
      <c r="Z48" s="203"/>
      <c r="AA48" s="203"/>
      <c r="AB48" s="663"/>
      <c r="AC48" s="663"/>
      <c r="AD48" s="663"/>
      <c r="AE48" s="663"/>
      <c r="AF48" s="358">
        <f t="shared" si="3"/>
        <v>0</v>
      </c>
      <c r="AG48" s="664"/>
    </row>
    <row r="49" spans="2:33" hidden="1" x14ac:dyDescent="0.25">
      <c r="B49" s="2"/>
      <c r="C49" s="863"/>
      <c r="D49" s="369"/>
      <c r="E49" s="222"/>
      <c r="F49" s="223"/>
      <c r="G49" s="224"/>
      <c r="H49" s="224"/>
      <c r="I49" s="223"/>
      <c r="J49" s="223"/>
      <c r="K49" s="223"/>
      <c r="L49" s="225"/>
      <c r="M49" s="225"/>
      <c r="N49" s="225"/>
      <c r="O49" s="226"/>
      <c r="P49" s="226"/>
      <c r="Q49" s="226"/>
      <c r="R49" s="226"/>
      <c r="S49" s="380"/>
      <c r="T49" s="653"/>
      <c r="U49" s="226"/>
      <c r="V49" s="226"/>
      <c r="W49" s="226"/>
      <c r="X49" s="226"/>
      <c r="Y49" s="226"/>
      <c r="Z49" s="226"/>
      <c r="AA49" s="226"/>
      <c r="AB49" s="49"/>
      <c r="AC49" s="49"/>
      <c r="AD49" s="49"/>
      <c r="AE49" s="49"/>
      <c r="AF49" s="204">
        <f t="shared" si="3"/>
        <v>0</v>
      </c>
      <c r="AG49" s="227"/>
    </row>
    <row r="50" spans="2:33" hidden="1" x14ac:dyDescent="0.25">
      <c r="B50" s="2"/>
      <c r="C50" s="863"/>
      <c r="D50" s="369"/>
      <c r="E50" s="222"/>
      <c r="F50" s="223"/>
      <c r="G50" s="224"/>
      <c r="H50" s="224"/>
      <c r="I50" s="223"/>
      <c r="J50" s="223"/>
      <c r="K50" s="223"/>
      <c r="L50" s="225"/>
      <c r="M50" s="225"/>
      <c r="N50" s="225"/>
      <c r="O50" s="226"/>
      <c r="P50" s="226"/>
      <c r="Q50" s="226"/>
      <c r="R50" s="226"/>
      <c r="S50" s="380"/>
      <c r="T50" s="653"/>
      <c r="U50" s="226"/>
      <c r="V50" s="226"/>
      <c r="W50" s="226"/>
      <c r="X50" s="226"/>
      <c r="Y50" s="226"/>
      <c r="Z50" s="226"/>
      <c r="AA50" s="226"/>
      <c r="AB50" s="49"/>
      <c r="AC50" s="49"/>
      <c r="AD50" s="49"/>
      <c r="AE50" s="49"/>
      <c r="AF50" s="204">
        <f t="shared" si="3"/>
        <v>0</v>
      </c>
      <c r="AG50" s="227"/>
    </row>
    <row r="51" spans="2:33" hidden="1" x14ac:dyDescent="0.25">
      <c r="B51" s="2"/>
      <c r="C51" s="863"/>
      <c r="D51" s="369"/>
      <c r="E51" s="222"/>
      <c r="F51" s="223"/>
      <c r="G51" s="224"/>
      <c r="H51" s="224"/>
      <c r="I51" s="223"/>
      <c r="J51" s="223"/>
      <c r="K51" s="223"/>
      <c r="L51" s="225"/>
      <c r="M51" s="225"/>
      <c r="N51" s="225"/>
      <c r="O51" s="226"/>
      <c r="P51" s="226"/>
      <c r="Q51" s="226"/>
      <c r="R51" s="226"/>
      <c r="S51" s="380"/>
      <c r="T51" s="653"/>
      <c r="U51" s="226"/>
      <c r="V51" s="226"/>
      <c r="W51" s="226"/>
      <c r="X51" s="226"/>
      <c r="Y51" s="226"/>
      <c r="Z51" s="226"/>
      <c r="AA51" s="226"/>
      <c r="AB51" s="49"/>
      <c r="AC51" s="49"/>
      <c r="AD51" s="49"/>
      <c r="AE51" s="49"/>
      <c r="AF51" s="204">
        <f t="shared" si="3"/>
        <v>0</v>
      </c>
      <c r="AG51" s="227"/>
    </row>
    <row r="52" spans="2:33" ht="15.75" hidden="1" thickBot="1" x14ac:dyDescent="0.3">
      <c r="B52" s="2"/>
      <c r="C52" s="862"/>
      <c r="D52" s="656"/>
      <c r="E52" s="318"/>
      <c r="F52" s="301"/>
      <c r="G52" s="302"/>
      <c r="H52" s="302"/>
      <c r="I52" s="301"/>
      <c r="J52" s="301"/>
      <c r="K52" s="301"/>
      <c r="L52" s="303"/>
      <c r="M52" s="303"/>
      <c r="N52" s="303"/>
      <c r="O52" s="304"/>
      <c r="P52" s="304"/>
      <c r="Q52" s="304"/>
      <c r="R52" s="304"/>
      <c r="S52" s="382"/>
      <c r="T52" s="655"/>
      <c r="U52" s="304"/>
      <c r="V52" s="304"/>
      <c r="W52" s="304"/>
      <c r="X52" s="304"/>
      <c r="Y52" s="304"/>
      <c r="Z52" s="304"/>
      <c r="AA52" s="304"/>
      <c r="AB52" s="305"/>
      <c r="AC52" s="305"/>
      <c r="AD52" s="305"/>
      <c r="AE52" s="305"/>
      <c r="AF52" s="300">
        <f t="shared" si="3"/>
        <v>0</v>
      </c>
      <c r="AG52" s="320"/>
    </row>
    <row r="53" spans="2:33" hidden="1" x14ac:dyDescent="0.25">
      <c r="B53" s="2"/>
      <c r="C53" s="867" t="s">
        <v>31</v>
      </c>
      <c r="D53" s="665"/>
      <c r="E53" s="23"/>
      <c r="F53" s="46"/>
      <c r="G53" s="190"/>
      <c r="H53" s="190"/>
      <c r="I53" s="46"/>
      <c r="J53" s="46"/>
      <c r="K53" s="46"/>
      <c r="L53" s="191"/>
      <c r="M53" s="191"/>
      <c r="N53" s="191"/>
      <c r="O53" s="192"/>
      <c r="P53" s="192"/>
      <c r="Q53" s="192"/>
      <c r="R53" s="192"/>
      <c r="S53" s="385"/>
      <c r="T53" s="192"/>
      <c r="U53" s="192"/>
      <c r="V53" s="192"/>
      <c r="W53" s="192"/>
      <c r="X53" s="192"/>
      <c r="Y53" s="192"/>
      <c r="Z53" s="192"/>
      <c r="AA53" s="192"/>
      <c r="AB53" s="25"/>
      <c r="AC53" s="25"/>
      <c r="AD53" s="25"/>
      <c r="AE53" s="25"/>
      <c r="AF53" s="420">
        <f t="shared" si="3"/>
        <v>0</v>
      </c>
      <c r="AG53" s="26"/>
    </row>
    <row r="54" spans="2:33" hidden="1" x14ac:dyDescent="0.25">
      <c r="B54" s="2"/>
      <c r="C54" s="868"/>
      <c r="D54" s="654"/>
      <c r="E54" s="155"/>
      <c r="F54" s="189"/>
      <c r="G54" s="413"/>
      <c r="H54" s="413"/>
      <c r="I54" s="189"/>
      <c r="J54" s="189"/>
      <c r="K54" s="189"/>
      <c r="L54" s="414"/>
      <c r="M54" s="414"/>
      <c r="N54" s="414"/>
      <c r="O54" s="415"/>
      <c r="P54" s="415"/>
      <c r="Q54" s="415"/>
      <c r="R54" s="415"/>
      <c r="S54" s="416"/>
      <c r="T54" s="415"/>
      <c r="U54" s="415"/>
      <c r="V54" s="415"/>
      <c r="W54" s="415"/>
      <c r="X54" s="415"/>
      <c r="Y54" s="415"/>
      <c r="Z54" s="415"/>
      <c r="AA54" s="415"/>
      <c r="AB54" s="158"/>
      <c r="AC54" s="158"/>
      <c r="AD54" s="158"/>
      <c r="AE54" s="158"/>
      <c r="AF54" s="417">
        <f t="shared" si="3"/>
        <v>0</v>
      </c>
      <c r="AG54" s="421"/>
    </row>
    <row r="55" spans="2:33" hidden="1" x14ac:dyDescent="0.25">
      <c r="B55" s="2"/>
      <c r="C55" s="868"/>
      <c r="D55" s="654"/>
      <c r="E55" s="155"/>
      <c r="F55" s="189"/>
      <c r="G55" s="413"/>
      <c r="H55" s="413"/>
      <c r="I55" s="189"/>
      <c r="J55" s="189"/>
      <c r="K55" s="189"/>
      <c r="L55" s="414"/>
      <c r="M55" s="414"/>
      <c r="N55" s="414"/>
      <c r="O55" s="415"/>
      <c r="P55" s="415"/>
      <c r="Q55" s="415"/>
      <c r="R55" s="415"/>
      <c r="S55" s="416"/>
      <c r="T55" s="415"/>
      <c r="U55" s="415"/>
      <c r="V55" s="415"/>
      <c r="W55" s="415"/>
      <c r="X55" s="415"/>
      <c r="Y55" s="415"/>
      <c r="Z55" s="415"/>
      <c r="AA55" s="415"/>
      <c r="AB55" s="158"/>
      <c r="AC55" s="158"/>
      <c r="AD55" s="158"/>
      <c r="AE55" s="158"/>
      <c r="AF55" s="417">
        <f t="shared" si="3"/>
        <v>0</v>
      </c>
      <c r="AG55" s="421"/>
    </row>
    <row r="56" spans="2:33" hidden="1" x14ac:dyDescent="0.25">
      <c r="B56" s="2"/>
      <c r="C56" s="868"/>
      <c r="D56" s="654"/>
      <c r="E56" s="155"/>
      <c r="F56" s="189"/>
      <c r="G56" s="413"/>
      <c r="H56" s="413"/>
      <c r="I56" s="189"/>
      <c r="J56" s="189"/>
      <c r="K56" s="189"/>
      <c r="L56" s="414"/>
      <c r="M56" s="414"/>
      <c r="N56" s="414"/>
      <c r="O56" s="415"/>
      <c r="P56" s="415"/>
      <c r="Q56" s="415"/>
      <c r="R56" s="415"/>
      <c r="S56" s="416"/>
      <c r="T56" s="415"/>
      <c r="U56" s="415"/>
      <c r="V56" s="415"/>
      <c r="W56" s="415"/>
      <c r="X56" s="415"/>
      <c r="Y56" s="415"/>
      <c r="Z56" s="415"/>
      <c r="AA56" s="415"/>
      <c r="AB56" s="158"/>
      <c r="AC56" s="158"/>
      <c r="AD56" s="158"/>
      <c r="AE56" s="158"/>
      <c r="AF56" s="417">
        <f t="shared" si="3"/>
        <v>0</v>
      </c>
      <c r="AG56" s="421"/>
    </row>
    <row r="57" spans="2:33" ht="15.75" hidden="1" thickBot="1" x14ac:dyDescent="0.3">
      <c r="B57" s="2"/>
      <c r="C57" s="869"/>
      <c r="D57" s="666"/>
      <c r="E57" s="657"/>
      <c r="F57" s="56"/>
      <c r="G57" s="194"/>
      <c r="H57" s="194"/>
      <c r="I57" s="56"/>
      <c r="J57" s="56"/>
      <c r="K57" s="56"/>
      <c r="L57" s="195"/>
      <c r="M57" s="195"/>
      <c r="N57" s="195"/>
      <c r="O57" s="196"/>
      <c r="P57" s="196"/>
      <c r="Q57" s="196"/>
      <c r="R57" s="196"/>
      <c r="S57" s="384"/>
      <c r="T57" s="196"/>
      <c r="U57" s="196"/>
      <c r="V57" s="196"/>
      <c r="W57" s="196"/>
      <c r="X57" s="196"/>
      <c r="Y57" s="196"/>
      <c r="Z57" s="196"/>
      <c r="AA57" s="196"/>
      <c r="AB57" s="57"/>
      <c r="AC57" s="57"/>
      <c r="AD57" s="57"/>
      <c r="AE57" s="57"/>
      <c r="AF57" s="143">
        <f t="shared" si="3"/>
        <v>0</v>
      </c>
      <c r="AG57" s="667"/>
    </row>
    <row r="58" spans="2:33" hidden="1" x14ac:dyDescent="0.25">
      <c r="B58" s="2"/>
      <c r="C58" s="861" t="s">
        <v>34</v>
      </c>
      <c r="D58" s="662"/>
      <c r="E58" s="220"/>
      <c r="F58" s="200"/>
      <c r="G58" s="201"/>
      <c r="H58" s="201"/>
      <c r="I58" s="200"/>
      <c r="J58" s="200"/>
      <c r="K58" s="200"/>
      <c r="L58" s="200"/>
      <c r="M58" s="200"/>
      <c r="N58" s="200"/>
      <c r="O58" s="678"/>
      <c r="P58" s="678"/>
      <c r="Q58" s="678"/>
      <c r="R58" s="678"/>
      <c r="S58" s="379"/>
      <c r="T58" s="677"/>
      <c r="U58" s="203"/>
      <c r="V58" s="203"/>
      <c r="W58" s="203"/>
      <c r="X58" s="203"/>
      <c r="Y58" s="203"/>
      <c r="Z58" s="203"/>
      <c r="AA58" s="203"/>
      <c r="AB58" s="663"/>
      <c r="AC58" s="663"/>
      <c r="AD58" s="663"/>
      <c r="AE58" s="663"/>
      <c r="AF58" s="358">
        <f t="shared" si="3"/>
        <v>0</v>
      </c>
      <c r="AG58" s="664"/>
    </row>
    <row r="59" spans="2:33" hidden="1" x14ac:dyDescent="0.25">
      <c r="B59" s="2"/>
      <c r="C59" s="863"/>
      <c r="D59" s="369"/>
      <c r="E59" s="222"/>
      <c r="F59" s="223"/>
      <c r="G59" s="224"/>
      <c r="H59" s="224"/>
      <c r="I59" s="223"/>
      <c r="J59" s="223"/>
      <c r="K59" s="223"/>
      <c r="L59" s="223"/>
      <c r="M59" s="223"/>
      <c r="N59" s="223"/>
      <c r="O59" s="679"/>
      <c r="P59" s="679"/>
      <c r="Q59" s="679"/>
      <c r="R59" s="679"/>
      <c r="S59" s="380"/>
      <c r="T59" s="653"/>
      <c r="U59" s="226"/>
      <c r="V59" s="226"/>
      <c r="W59" s="226"/>
      <c r="X59" s="226"/>
      <c r="Y59" s="226"/>
      <c r="Z59" s="226"/>
      <c r="AA59" s="226"/>
      <c r="AB59" s="49"/>
      <c r="AC59" s="49"/>
      <c r="AD59" s="49"/>
      <c r="AE59" s="49"/>
      <c r="AF59" s="204">
        <f t="shared" si="3"/>
        <v>0</v>
      </c>
      <c r="AG59" s="227"/>
    </row>
    <row r="60" spans="2:33" hidden="1" x14ac:dyDescent="0.25">
      <c r="B60" s="2"/>
      <c r="C60" s="863"/>
      <c r="D60" s="369"/>
      <c r="E60" s="222"/>
      <c r="F60" s="223"/>
      <c r="G60" s="224"/>
      <c r="H60" s="224"/>
      <c r="I60" s="223"/>
      <c r="J60" s="223"/>
      <c r="K60" s="223"/>
      <c r="L60" s="225"/>
      <c r="M60" s="223"/>
      <c r="N60" s="223"/>
      <c r="O60" s="679"/>
      <c r="P60" s="679"/>
      <c r="Q60" s="679"/>
      <c r="R60" s="679"/>
      <c r="S60" s="380"/>
      <c r="T60" s="653"/>
      <c r="U60" s="226"/>
      <c r="V60" s="226"/>
      <c r="W60" s="226"/>
      <c r="X60" s="226"/>
      <c r="Y60" s="226"/>
      <c r="Z60" s="226"/>
      <c r="AA60" s="226"/>
      <c r="AB60" s="49"/>
      <c r="AC60" s="49"/>
      <c r="AD60" s="49"/>
      <c r="AE60" s="49"/>
      <c r="AF60" s="204">
        <f t="shared" si="3"/>
        <v>0</v>
      </c>
      <c r="AG60" s="227"/>
    </row>
    <row r="61" spans="2:33" hidden="1" x14ac:dyDescent="0.25">
      <c r="B61" s="2"/>
      <c r="C61" s="863"/>
      <c r="D61" s="369"/>
      <c r="E61" s="222"/>
      <c r="F61" s="223"/>
      <c r="G61" s="224"/>
      <c r="H61" s="224"/>
      <c r="I61" s="223"/>
      <c r="J61" s="223"/>
      <c r="K61" s="223"/>
      <c r="L61" s="223"/>
      <c r="M61" s="223"/>
      <c r="N61" s="223"/>
      <c r="O61" s="679"/>
      <c r="P61" s="679"/>
      <c r="Q61" s="679"/>
      <c r="R61" s="679"/>
      <c r="S61" s="380"/>
      <c r="T61" s="653"/>
      <c r="U61" s="226"/>
      <c r="V61" s="226"/>
      <c r="W61" s="226"/>
      <c r="X61" s="226"/>
      <c r="Y61" s="226"/>
      <c r="Z61" s="226"/>
      <c r="AA61" s="226"/>
      <c r="AB61" s="49"/>
      <c r="AC61" s="49"/>
      <c r="AD61" s="49"/>
      <c r="AE61" s="49"/>
      <c r="AF61" s="204">
        <f t="shared" si="3"/>
        <v>0</v>
      </c>
      <c r="AG61" s="227"/>
    </row>
    <row r="62" spans="2:33" ht="15.75" hidden="1" thickBot="1" x14ac:dyDescent="0.3">
      <c r="B62" s="2"/>
      <c r="C62" s="864"/>
      <c r="D62" s="370"/>
      <c r="E62" s="3"/>
      <c r="F62" s="67"/>
      <c r="G62" s="658"/>
      <c r="H62" s="658"/>
      <c r="I62" s="67"/>
      <c r="J62" s="67"/>
      <c r="K62" s="67"/>
      <c r="L62" s="67"/>
      <c r="M62" s="67"/>
      <c r="N62" s="67"/>
      <c r="O62" s="680"/>
      <c r="P62" s="680"/>
      <c r="Q62" s="680"/>
      <c r="R62" s="680"/>
      <c r="S62" s="660"/>
      <c r="T62" s="661"/>
      <c r="U62" s="659"/>
      <c r="V62" s="659"/>
      <c r="W62" s="659"/>
      <c r="X62" s="659"/>
      <c r="Y62" s="659"/>
      <c r="Z62" s="659"/>
      <c r="AA62" s="659"/>
      <c r="AB62" s="69"/>
      <c r="AC62" s="69"/>
      <c r="AD62" s="69"/>
      <c r="AE62" s="69"/>
      <c r="AF62" s="675">
        <f t="shared" si="3"/>
        <v>0</v>
      </c>
      <c r="AG62" s="486"/>
    </row>
    <row r="63" spans="2:33" hidden="1" x14ac:dyDescent="0.25">
      <c r="B63" s="2"/>
      <c r="C63" s="867" t="s">
        <v>35</v>
      </c>
      <c r="D63" s="665"/>
      <c r="E63" s="23"/>
      <c r="F63" s="46"/>
      <c r="G63" s="190"/>
      <c r="H63" s="190"/>
      <c r="I63" s="190"/>
      <c r="J63" s="190"/>
      <c r="K63" s="190"/>
      <c r="L63" s="191"/>
      <c r="M63" s="46"/>
      <c r="N63" s="46"/>
      <c r="O63" s="192"/>
      <c r="P63" s="192"/>
      <c r="Q63" s="192"/>
      <c r="R63" s="192"/>
      <c r="S63" s="385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25"/>
      <c r="AE63" s="420"/>
      <c r="AF63" s="420">
        <f t="shared" si="3"/>
        <v>0</v>
      </c>
      <c r="AG63" s="26"/>
    </row>
    <row r="64" spans="2:33" hidden="1" x14ac:dyDescent="0.25">
      <c r="B64" s="2"/>
      <c r="C64" s="868"/>
      <c r="D64" s="654"/>
      <c r="E64" s="155"/>
      <c r="F64" s="189"/>
      <c r="G64" s="413"/>
      <c r="H64" s="413"/>
      <c r="I64" s="413"/>
      <c r="J64" s="413"/>
      <c r="K64" s="413"/>
      <c r="L64" s="414"/>
      <c r="M64" s="189"/>
      <c r="N64" s="189"/>
      <c r="O64" s="415"/>
      <c r="P64" s="415"/>
      <c r="Q64" s="415"/>
      <c r="R64" s="415"/>
      <c r="S64" s="416"/>
      <c r="T64" s="415"/>
      <c r="U64" s="415"/>
      <c r="V64" s="415"/>
      <c r="W64" s="415"/>
      <c r="X64" s="415"/>
      <c r="Y64" s="415"/>
      <c r="Z64" s="415"/>
      <c r="AA64" s="415"/>
      <c r="AB64" s="415"/>
      <c r="AC64" s="415"/>
      <c r="AD64" s="158"/>
      <c r="AE64" s="417"/>
      <c r="AF64" s="417">
        <f t="shared" si="3"/>
        <v>0</v>
      </c>
      <c r="AG64" s="421"/>
    </row>
    <row r="65" spans="1:33" hidden="1" x14ac:dyDescent="0.25">
      <c r="B65" s="2"/>
      <c r="C65" s="868"/>
      <c r="D65" s="654"/>
      <c r="E65" s="155"/>
      <c r="F65" s="189"/>
      <c r="G65" s="413"/>
      <c r="H65" s="413"/>
      <c r="I65" s="413"/>
      <c r="J65" s="413"/>
      <c r="K65" s="413"/>
      <c r="L65" s="414"/>
      <c r="M65" s="189"/>
      <c r="N65" s="189"/>
      <c r="O65" s="415"/>
      <c r="P65" s="415"/>
      <c r="Q65" s="415"/>
      <c r="R65" s="415"/>
      <c r="S65" s="416"/>
      <c r="T65" s="415"/>
      <c r="U65" s="415"/>
      <c r="V65" s="415"/>
      <c r="W65" s="415"/>
      <c r="X65" s="415"/>
      <c r="Y65" s="415"/>
      <c r="Z65" s="415"/>
      <c r="AA65" s="415"/>
      <c r="AB65" s="415"/>
      <c r="AC65" s="415"/>
      <c r="AD65" s="158"/>
      <c r="AE65" s="417"/>
      <c r="AF65" s="417">
        <f t="shared" si="3"/>
        <v>0</v>
      </c>
      <c r="AG65" s="421"/>
    </row>
    <row r="66" spans="1:33" hidden="1" x14ac:dyDescent="0.25">
      <c r="B66" s="2"/>
      <c r="C66" s="868"/>
      <c r="D66" s="654"/>
      <c r="E66" s="155"/>
      <c r="F66" s="189"/>
      <c r="G66" s="413"/>
      <c r="H66" s="413"/>
      <c r="I66" s="413"/>
      <c r="J66" s="413"/>
      <c r="K66" s="413"/>
      <c r="L66" s="414"/>
      <c r="M66" s="189"/>
      <c r="N66" s="189"/>
      <c r="O66" s="415"/>
      <c r="P66" s="415"/>
      <c r="Q66" s="415"/>
      <c r="R66" s="415"/>
      <c r="S66" s="416"/>
      <c r="T66" s="415"/>
      <c r="U66" s="415"/>
      <c r="V66" s="415"/>
      <c r="W66" s="415"/>
      <c r="X66" s="415"/>
      <c r="Y66" s="415"/>
      <c r="Z66" s="415"/>
      <c r="AA66" s="415"/>
      <c r="AB66" s="415"/>
      <c r="AC66" s="415"/>
      <c r="AD66" s="158"/>
      <c r="AE66" s="417"/>
      <c r="AF66" s="417">
        <f t="shared" si="3"/>
        <v>0</v>
      </c>
      <c r="AG66" s="421"/>
    </row>
    <row r="67" spans="1:33" hidden="1" x14ac:dyDescent="0.25">
      <c r="B67" s="2"/>
      <c r="C67" s="868"/>
      <c r="D67" s="654"/>
      <c r="E67" s="155"/>
      <c r="F67" s="189"/>
      <c r="G67" s="413"/>
      <c r="H67" s="413"/>
      <c r="I67" s="413"/>
      <c r="J67" s="413"/>
      <c r="K67" s="413"/>
      <c r="L67" s="414"/>
      <c r="M67" s="189"/>
      <c r="N67" s="189"/>
      <c r="O67" s="415"/>
      <c r="P67" s="415"/>
      <c r="Q67" s="415"/>
      <c r="R67" s="415"/>
      <c r="S67" s="416"/>
      <c r="T67" s="415"/>
      <c r="U67" s="415"/>
      <c r="V67" s="415"/>
      <c r="W67" s="415"/>
      <c r="X67" s="415"/>
      <c r="Y67" s="415"/>
      <c r="Z67" s="415"/>
      <c r="AA67" s="415"/>
      <c r="AB67" s="415"/>
      <c r="AC67" s="415"/>
      <c r="AD67" s="158"/>
      <c r="AE67" s="417"/>
      <c r="AF67" s="417">
        <f t="shared" ref="AF67:AF68" si="24">SUM(T67:AE67)</f>
        <v>0</v>
      </c>
      <c r="AG67" s="421"/>
    </row>
    <row r="68" spans="1:33" ht="15.75" hidden="1" thickBot="1" x14ac:dyDescent="0.3">
      <c r="B68" s="2"/>
      <c r="C68" s="869"/>
      <c r="D68" s="666"/>
      <c r="E68" s="657"/>
      <c r="F68" s="56"/>
      <c r="G68" s="194"/>
      <c r="H68" s="194"/>
      <c r="I68" s="194"/>
      <c r="J68" s="194"/>
      <c r="K68" s="194"/>
      <c r="L68" s="195"/>
      <c r="M68" s="56"/>
      <c r="N68" s="56"/>
      <c r="O68" s="196"/>
      <c r="P68" s="196"/>
      <c r="Q68" s="196"/>
      <c r="R68" s="196"/>
      <c r="S68" s="384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57"/>
      <c r="AE68" s="143"/>
      <c r="AF68" s="143">
        <f t="shared" si="24"/>
        <v>0</v>
      </c>
      <c r="AG68" s="667"/>
    </row>
    <row r="69" spans="1:33" x14ac:dyDescent="0.25">
      <c r="B69" s="2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9"/>
    </row>
    <row r="70" spans="1:33" x14ac:dyDescent="0.25">
      <c r="B70" s="2"/>
      <c r="K70" s="737" t="s">
        <v>3</v>
      </c>
      <c r="L70" s="738">
        <f>SUM(L9:L69)</f>
        <v>1747.1250041871301</v>
      </c>
      <c r="M70" s="738"/>
      <c r="N70" s="738"/>
      <c r="O70" s="739">
        <f>SUM(O9:O69)</f>
        <v>170209547.94138131</v>
      </c>
      <c r="P70" s="739"/>
      <c r="Q70" s="739"/>
      <c r="R70" s="739">
        <f>SUM(R9:R69)</f>
        <v>194543176.96676075</v>
      </c>
      <c r="S70" s="740">
        <f>AVERAGE(S9:S69)</f>
        <v>-0.12563140131619815</v>
      </c>
      <c r="T70" s="739">
        <f t="shared" ref="T70:AE70" si="25">SUM(T9:T69)</f>
        <v>27583102.5</v>
      </c>
      <c r="U70" s="739">
        <f t="shared" si="25"/>
        <v>7329439</v>
      </c>
      <c r="V70" s="739">
        <f t="shared" si="25"/>
        <v>0</v>
      </c>
      <c r="W70" s="739">
        <f t="shared" si="25"/>
        <v>39498000</v>
      </c>
      <c r="X70" s="739">
        <f t="shared" si="25"/>
        <v>0</v>
      </c>
      <c r="Y70" s="739">
        <f>SUM(Y9:Y69)</f>
        <v>87243722.441381305</v>
      </c>
      <c r="Z70" s="739">
        <f t="shared" si="25"/>
        <v>0</v>
      </c>
      <c r="AA70" s="739">
        <f t="shared" si="25"/>
        <v>0</v>
      </c>
      <c r="AB70" s="739">
        <f t="shared" si="25"/>
        <v>0</v>
      </c>
      <c r="AC70" s="739">
        <f t="shared" si="25"/>
        <v>0</v>
      </c>
      <c r="AD70" s="739">
        <f t="shared" si="25"/>
        <v>0</v>
      </c>
      <c r="AE70" s="739">
        <f t="shared" si="25"/>
        <v>0</v>
      </c>
      <c r="AF70" s="741">
        <f>SUM(T70:AE70)</f>
        <v>161654263.94138131</v>
      </c>
      <c r="AG70" s="742">
        <f>+SUM(AF9:AF69)-AF70</f>
        <v>0</v>
      </c>
    </row>
    <row r="71" spans="1:33" x14ac:dyDescent="0.25">
      <c r="B71" s="2"/>
      <c r="J71" s="775" t="s">
        <v>24</v>
      </c>
      <c r="K71" s="743" t="s">
        <v>22</v>
      </c>
      <c r="L71" s="763">
        <f>SUM(L35:L68)</f>
        <v>504.16000000000008</v>
      </c>
      <c r="M71" s="744">
        <f>SUM(M19:M27)</f>
        <v>0</v>
      </c>
      <c r="N71" s="744">
        <f>SUM(N19:N27)</f>
        <v>0</v>
      </c>
      <c r="O71" s="744">
        <f>SUM(O35:O44)</f>
        <v>58752885</v>
      </c>
      <c r="P71" s="744">
        <f>AVERAGE(P35:P44)</f>
        <v>114831.90191822173</v>
      </c>
      <c r="Q71" s="744"/>
      <c r="R71" s="744">
        <f>SUM(R35:R44)</f>
        <v>66289125</v>
      </c>
      <c r="S71" s="764">
        <f>AVERAGE(S35:S44)</f>
        <v>-0.11428847739030157</v>
      </c>
      <c r="T71" s="744">
        <f>SUM(T19:T27)</f>
        <v>0</v>
      </c>
      <c r="U71" s="744">
        <f>SUM(U19:U27)</f>
        <v>0</v>
      </c>
      <c r="V71" s="744">
        <f>SUM(V19:V27)</f>
        <v>0</v>
      </c>
      <c r="W71" s="744">
        <f>SUM(W19:W27)</f>
        <v>39498000</v>
      </c>
      <c r="X71" s="746"/>
      <c r="Y71" s="746"/>
      <c r="Z71" s="746"/>
      <c r="AA71" s="746"/>
      <c r="AB71" s="746"/>
      <c r="AC71" s="746"/>
      <c r="AD71" s="746"/>
      <c r="AE71" s="746"/>
      <c r="AF71" s="747"/>
      <c r="AG71" s="745"/>
    </row>
    <row r="72" spans="1:33" x14ac:dyDescent="0.25">
      <c r="B72" s="2"/>
      <c r="L72" s="14"/>
      <c r="M72" s="14"/>
      <c r="N72" s="14"/>
      <c r="O72" s="8"/>
      <c r="P72" s="390"/>
      <c r="Q72" s="390"/>
      <c r="R72" s="604"/>
      <c r="S72" s="605"/>
      <c r="T72" s="176"/>
      <c r="AF72" s="58"/>
      <c r="AG72" s="10"/>
    </row>
    <row r="73" spans="1:33" x14ac:dyDescent="0.25">
      <c r="B73" s="2"/>
      <c r="R73" s="390"/>
      <c r="S73" s="606"/>
      <c r="T73" s="607"/>
      <c r="U73" s="176"/>
      <c r="AG73" s="58"/>
    </row>
    <row r="74" spans="1:33" x14ac:dyDescent="0.25">
      <c r="B74" s="2"/>
      <c r="F74" s="7"/>
      <c r="H74"/>
      <c r="L74" s="14"/>
      <c r="M74" s="8"/>
      <c r="N74" s="8"/>
      <c r="O74" s="8"/>
      <c r="R74" s="176"/>
      <c r="S74" s="608"/>
      <c r="T74" s="608"/>
      <c r="U74" s="176"/>
      <c r="AF74" s="58"/>
      <c r="AG74" s="10"/>
    </row>
    <row r="75" spans="1:33" x14ac:dyDescent="0.25">
      <c r="B75" s="2"/>
      <c r="F75" s="7"/>
      <c r="H75"/>
      <c r="L75" s="14"/>
      <c r="M75" s="8"/>
      <c r="N75" s="8"/>
      <c r="O75" s="8"/>
      <c r="R75" s="176"/>
      <c r="S75" s="608"/>
      <c r="T75" s="608"/>
      <c r="U75" s="176"/>
      <c r="AF75" s="58"/>
      <c r="AG75" s="10"/>
    </row>
    <row r="76" spans="1:33" x14ac:dyDescent="0.25">
      <c r="B76" s="2"/>
      <c r="F76" s="695"/>
      <c r="G76" s="695"/>
      <c r="H76" s="60"/>
      <c r="I76" s="60"/>
      <c r="J76" s="60"/>
      <c r="K76" s="60"/>
      <c r="L76" s="570"/>
      <c r="M76" s="61"/>
      <c r="N76" s="61"/>
      <c r="O76" s="61"/>
      <c r="P76" s="61"/>
      <c r="Q76" s="61"/>
      <c r="R76" s="315"/>
      <c r="T76" s="386"/>
      <c r="AF76" s="58"/>
      <c r="AG76" s="10"/>
    </row>
    <row r="77" spans="1:33" x14ac:dyDescent="0.25">
      <c r="A77" s="60"/>
      <c r="B77" s="696"/>
      <c r="C77" s="60"/>
      <c r="D77" s="60"/>
      <c r="E77" s="699"/>
      <c r="F77" s="695"/>
      <c r="G77" s="695"/>
      <c r="H77" s="60"/>
      <c r="I77" s="60"/>
      <c r="J77" s="60"/>
      <c r="K77" s="60"/>
      <c r="L77" s="570"/>
      <c r="M77" s="61"/>
      <c r="N77" s="719">
        <f ca="1">+TODAY()</f>
        <v>44376</v>
      </c>
      <c r="O77" s="61"/>
      <c r="P77" s="61"/>
      <c r="Q77" s="61"/>
      <c r="R77" s="315"/>
      <c r="S77" s="61"/>
      <c r="T77" s="316"/>
      <c r="AF77" s="58"/>
      <c r="AG77" s="10"/>
    </row>
    <row r="78" spans="1:33" x14ac:dyDescent="0.25">
      <c r="A78" s="60"/>
      <c r="B78" s="696"/>
      <c r="C78" s="60"/>
      <c r="D78" s="60"/>
      <c r="E78" s="699"/>
      <c r="F78" s="80"/>
      <c r="G78" s="80"/>
      <c r="H78" s="79"/>
      <c r="I78" s="79"/>
      <c r="J78" s="79"/>
      <c r="K78" s="79"/>
      <c r="L78" s="697"/>
      <c r="M78" s="61"/>
      <c r="N78" s="61"/>
      <c r="O78" s="61"/>
      <c r="P78" s="61"/>
      <c r="Q78" s="61"/>
      <c r="S78" s="61"/>
      <c r="T78" s="387"/>
      <c r="AF78" s="58"/>
      <c r="AG78" s="10"/>
    </row>
    <row r="79" spans="1:33" ht="23.25" x14ac:dyDescent="0.25">
      <c r="A79" s="60"/>
      <c r="B79" s="696"/>
      <c r="C79" s="60"/>
      <c r="D79" s="60"/>
      <c r="E79" s="699"/>
      <c r="F79" s="131"/>
      <c r="G79" s="798" t="s">
        <v>262</v>
      </c>
      <c r="H79" s="798"/>
      <c r="I79" s="798"/>
      <c r="J79" s="798"/>
      <c r="K79" s="798"/>
      <c r="L79" s="798"/>
      <c r="M79" s="798"/>
      <c r="N79" s="798"/>
      <c r="O79" s="729"/>
      <c r="P79" s="729"/>
      <c r="Q79" s="729"/>
      <c r="R79" s="315"/>
      <c r="S79" s="61"/>
      <c r="T79" s="316"/>
      <c r="AF79" s="58"/>
      <c r="AG79" s="10"/>
    </row>
    <row r="80" spans="1:33" ht="21.75" thickBot="1" x14ac:dyDescent="0.3">
      <c r="A80" s="60"/>
      <c r="B80" s="696"/>
      <c r="C80" s="60"/>
      <c r="D80" s="60"/>
      <c r="E80" s="699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315"/>
      <c r="S80" s="61"/>
      <c r="T80" s="316"/>
      <c r="AF80" s="58"/>
      <c r="AG80" s="10"/>
    </row>
    <row r="81" spans="1:34" ht="21.75" thickBot="1" x14ac:dyDescent="0.3">
      <c r="A81" s="60"/>
      <c r="B81" s="696"/>
      <c r="C81" s="60"/>
      <c r="D81" s="60"/>
      <c r="E81" s="699"/>
      <c r="F81" s="80"/>
      <c r="G81" s="80"/>
      <c r="H81" s="79"/>
      <c r="I81" s="79"/>
      <c r="J81" s="131"/>
      <c r="L81" s="948" t="s">
        <v>463</v>
      </c>
      <c r="M81" s="393">
        <f>+Y70</f>
        <v>87243722.441381305</v>
      </c>
      <c r="R81" s="315"/>
      <c r="S81" s="61"/>
      <c r="T81" s="316"/>
      <c r="AF81" s="173"/>
      <c r="AG81"/>
      <c r="AH81" s="6"/>
    </row>
    <row r="82" spans="1:34" ht="21.75" thickBot="1" x14ac:dyDescent="0.3">
      <c r="A82" s="60"/>
      <c r="B82" s="696"/>
      <c r="C82" s="60"/>
      <c r="D82" s="60"/>
      <c r="E82" s="699"/>
      <c r="F82" s="82"/>
      <c r="G82" s="80"/>
      <c r="H82" s="79"/>
      <c r="I82" s="81"/>
      <c r="J82" s="131"/>
      <c r="L82" s="949" t="s">
        <v>485</v>
      </c>
      <c r="M82" s="950">
        <f>+COUNT(L35:L44)</f>
        <v>10</v>
      </c>
      <c r="N82" s="83"/>
      <c r="O82" s="61"/>
      <c r="P82" s="315"/>
      <c r="Q82" s="315"/>
      <c r="R82" s="315"/>
      <c r="S82" s="61"/>
      <c r="T82" s="172"/>
      <c r="AE82" s="173"/>
      <c r="AF82" s="2"/>
      <c r="AG82"/>
      <c r="AH82" s="2"/>
    </row>
    <row r="83" spans="1:34" x14ac:dyDescent="0.25">
      <c r="A83" s="60"/>
      <c r="B83" s="696"/>
      <c r="C83" s="60"/>
      <c r="D83" s="60"/>
      <c r="E83" s="699"/>
      <c r="F83" s="80"/>
      <c r="G83" s="805" t="s">
        <v>418</v>
      </c>
      <c r="H83" s="806"/>
      <c r="I83" s="801">
        <f>+O70</f>
        <v>170209547.94138131</v>
      </c>
      <c r="J83" s="802"/>
      <c r="K83" s="81"/>
      <c r="L83" s="81"/>
      <c r="M83" s="81"/>
      <c r="N83" s="86"/>
      <c r="O83" s="61"/>
      <c r="P83" s="315"/>
      <c r="Q83" s="315"/>
      <c r="R83" s="315"/>
      <c r="S83" s="61"/>
      <c r="T83" s="172"/>
      <c r="AE83" s="173"/>
      <c r="AF83" s="2"/>
      <c r="AG83"/>
      <c r="AH83" s="2"/>
    </row>
    <row r="84" spans="1:34" ht="15.75" thickBot="1" x14ac:dyDescent="0.3">
      <c r="A84" s="60"/>
      <c r="B84" s="696"/>
      <c r="C84" s="60"/>
      <c r="D84" s="60"/>
      <c r="E84" s="699"/>
      <c r="F84" s="80"/>
      <c r="G84" s="803" t="s">
        <v>422</v>
      </c>
      <c r="H84" s="804"/>
      <c r="I84" s="799">
        <f>+AF70</f>
        <v>161654263.94138131</v>
      </c>
      <c r="J84" s="800"/>
      <c r="K84" s="81"/>
      <c r="L84" s="81"/>
      <c r="M84" s="81"/>
      <c r="N84" s="86"/>
      <c r="O84" s="61"/>
      <c r="P84" s="316"/>
      <c r="Q84" s="316"/>
      <c r="R84" s="316"/>
      <c r="S84" s="61"/>
      <c r="T84" s="172"/>
      <c r="AE84" s="173"/>
      <c r="AF84" s="2"/>
      <c r="AG84"/>
      <c r="AH84" s="2"/>
    </row>
    <row r="85" spans="1:34" ht="15.75" thickBot="1" x14ac:dyDescent="0.3">
      <c r="A85" s="60"/>
      <c r="B85" s="696"/>
      <c r="C85" s="60"/>
      <c r="D85" s="60"/>
      <c r="E85" s="699"/>
      <c r="F85" s="80"/>
      <c r="G85" s="80"/>
      <c r="H85" s="721"/>
      <c r="I85" s="85"/>
      <c r="K85" s="81"/>
      <c r="L85" s="81"/>
      <c r="M85" s="81"/>
      <c r="N85" s="86"/>
      <c r="O85" s="61"/>
      <c r="P85" s="316"/>
      <c r="Q85" s="316"/>
      <c r="R85" s="316"/>
      <c r="S85" s="61"/>
      <c r="T85" s="172"/>
      <c r="AE85" s="173"/>
      <c r="AF85" s="2"/>
      <c r="AG85"/>
      <c r="AH85" s="2"/>
    </row>
    <row r="86" spans="1:34" x14ac:dyDescent="0.25">
      <c r="A86" s="60"/>
      <c r="B86" s="696"/>
      <c r="C86" s="60"/>
      <c r="D86" s="60"/>
      <c r="E86" s="699"/>
      <c r="F86" s="80"/>
      <c r="G86" s="945" t="s">
        <v>481</v>
      </c>
      <c r="H86" s="731" t="s">
        <v>54</v>
      </c>
      <c r="I86" s="818">
        <f>+SUMIF($N$9:$N$69,H86,$AF$9:$AF$69)</f>
        <v>31828321.5</v>
      </c>
      <c r="J86" s="819"/>
      <c r="K86" s="81"/>
      <c r="L86" s="81"/>
      <c r="M86" s="81"/>
      <c r="N86" s="86"/>
      <c r="O86" s="61"/>
      <c r="P86" s="316"/>
      <c r="Q86" s="316"/>
      <c r="R86" s="316"/>
      <c r="S86" s="61"/>
      <c r="T86" s="172"/>
      <c r="AE86" s="173"/>
      <c r="AF86" s="2"/>
      <c r="AG86"/>
      <c r="AH86" s="2"/>
    </row>
    <row r="87" spans="1:34" x14ac:dyDescent="0.25">
      <c r="A87" s="60"/>
      <c r="B87" s="696"/>
      <c r="C87" s="60"/>
      <c r="D87" s="60"/>
      <c r="E87" s="699"/>
      <c r="F87" s="80"/>
      <c r="G87" s="946"/>
      <c r="H87" s="728" t="s">
        <v>421</v>
      </c>
      <c r="I87" s="816">
        <f>+SUMIF($N$9:$N$69,H87,$AF$9:$AF$69)</f>
        <v>94639820</v>
      </c>
      <c r="J87" s="817"/>
      <c r="K87" s="81"/>
      <c r="L87" s="81"/>
      <c r="M87" s="81"/>
      <c r="N87" s="86"/>
      <c r="O87" s="61"/>
      <c r="P87" s="316"/>
      <c r="Q87" s="316"/>
      <c r="R87" s="316"/>
      <c r="S87" s="61"/>
      <c r="T87" s="172"/>
      <c r="AE87" s="173"/>
      <c r="AF87" s="2"/>
      <c r="AG87"/>
      <c r="AH87" s="2"/>
    </row>
    <row r="88" spans="1:34" ht="15.75" thickBot="1" x14ac:dyDescent="0.3">
      <c r="A88" s="60"/>
      <c r="B88" s="696"/>
      <c r="C88" s="60"/>
      <c r="D88" s="60"/>
      <c r="E88" s="699"/>
      <c r="F88" s="80"/>
      <c r="G88" s="947"/>
      <c r="H88" s="732" t="s">
        <v>423</v>
      </c>
      <c r="I88" s="814">
        <f>+SUMIF($N$9:$N$69,H88,$AF$9:$AF$69)</f>
        <v>35186122.441381313</v>
      </c>
      <c r="J88" s="815"/>
      <c r="K88" s="730">
        <f>+I86+I87+I88-I84</f>
        <v>0</v>
      </c>
      <c r="L88" s="81"/>
      <c r="M88" s="81"/>
      <c r="O88" s="390"/>
      <c r="P88" s="316"/>
      <c r="Q88" s="316"/>
      <c r="R88" s="316"/>
      <c r="S88" s="61"/>
      <c r="T88" s="172"/>
      <c r="AE88" s="173"/>
      <c r="AF88" s="2"/>
      <c r="AG88"/>
      <c r="AH88" s="2"/>
    </row>
    <row r="89" spans="1:34" x14ac:dyDescent="0.25">
      <c r="A89" s="60"/>
      <c r="B89" s="696"/>
      <c r="C89" s="60"/>
      <c r="D89" s="60"/>
      <c r="E89" s="699"/>
      <c r="F89" s="80"/>
      <c r="G89" s="80"/>
      <c r="H89" s="721"/>
      <c r="I89" s="85"/>
      <c r="J89" s="85"/>
      <c r="K89" s="85"/>
      <c r="L89" s="86"/>
      <c r="M89" s="86"/>
      <c r="N89" s="86"/>
      <c r="O89" s="390"/>
      <c r="P89" s="316"/>
      <c r="Q89" s="316"/>
      <c r="R89" s="316"/>
      <c r="S89" s="61"/>
      <c r="T89" s="172"/>
      <c r="AE89" s="173"/>
      <c r="AF89" s="2"/>
      <c r="AG89"/>
      <c r="AH89" s="2"/>
    </row>
    <row r="90" spans="1:34" s="55" customFormat="1" ht="15.75" thickBot="1" x14ac:dyDescent="0.3">
      <c r="A90" s="60"/>
      <c r="B90" s="696"/>
      <c r="C90" s="60"/>
      <c r="D90" s="60"/>
      <c r="E90" s="699"/>
      <c r="F90" s="84"/>
      <c r="G90" s="84"/>
      <c r="H90" s="85"/>
      <c r="I90" s="85"/>
      <c r="J90" s="85"/>
      <c r="K90" s="86"/>
      <c r="L90" s="86"/>
      <c r="M90" s="83"/>
      <c r="N90" s="83"/>
      <c r="O90" s="61"/>
      <c r="P90" s="316"/>
      <c r="Q90" s="316"/>
      <c r="R90" s="316"/>
      <c r="S90" s="61"/>
      <c r="T90" s="172"/>
      <c r="U90" s="172"/>
      <c r="V90" s="172"/>
      <c r="W90" s="172"/>
      <c r="X90" s="172"/>
      <c r="Y90" s="172"/>
      <c r="Z90" s="172"/>
      <c r="AA90" s="172"/>
      <c r="AB90" s="172"/>
      <c r="AC90" s="176"/>
      <c r="AD90" s="176"/>
      <c r="AE90" s="177"/>
      <c r="AF90" s="54"/>
      <c r="AH90" s="54"/>
    </row>
    <row r="91" spans="1:34" ht="15.75" thickBot="1" x14ac:dyDescent="0.3">
      <c r="A91" s="60"/>
      <c r="B91" s="696"/>
      <c r="C91" s="60"/>
      <c r="D91" s="60"/>
      <c r="E91" s="699"/>
      <c r="F91" s="80"/>
      <c r="G91" s="807"/>
      <c r="H91" s="808"/>
      <c r="I91" s="809"/>
      <c r="J91" s="810" t="s">
        <v>56</v>
      </c>
      <c r="K91" s="811"/>
      <c r="L91" s="812" t="s">
        <v>482</v>
      </c>
      <c r="M91" s="813"/>
      <c r="N91" s="86"/>
      <c r="O91" s="61"/>
      <c r="P91" s="316"/>
      <c r="Q91" s="316"/>
      <c r="R91" s="316"/>
      <c r="S91" s="61"/>
      <c r="T91" s="172"/>
      <c r="AE91" s="173"/>
      <c r="AF91" s="2"/>
      <c r="AG91"/>
      <c r="AH91" s="2"/>
    </row>
    <row r="92" spans="1:34" x14ac:dyDescent="0.25">
      <c r="A92" s="60"/>
      <c r="B92" s="696"/>
      <c r="C92" s="60"/>
      <c r="D92" s="60"/>
      <c r="E92" s="699"/>
      <c r="F92" s="80"/>
      <c r="G92" s="822" t="s">
        <v>54</v>
      </c>
      <c r="H92" s="823"/>
      <c r="I92" s="824"/>
      <c r="J92" s="825">
        <f>+SUMIF(J9:J68,G92,AF9:AF68)</f>
        <v>156455781.30802524</v>
      </c>
      <c r="K92" s="826"/>
      <c r="L92" s="827">
        <f>+SUMIF($J$9:$J$69,G92,$O$9:$O$69)</f>
        <v>163151065.30802524</v>
      </c>
      <c r="M92" s="828"/>
      <c r="N92" s="217">
        <f>+J92+J93-I84</f>
        <v>0</v>
      </c>
      <c r="P92" s="316"/>
      <c r="Q92" s="316"/>
      <c r="R92" s="316"/>
      <c r="S92" s="61"/>
      <c r="T92" s="172"/>
      <c r="AE92" s="173"/>
      <c r="AF92" s="2"/>
      <c r="AG92"/>
      <c r="AH92" s="2"/>
    </row>
    <row r="93" spans="1:34" ht="15.75" thickBot="1" x14ac:dyDescent="0.3">
      <c r="A93" s="60"/>
      <c r="B93" s="696"/>
      <c r="C93" s="60"/>
      <c r="D93" s="60"/>
      <c r="E93" s="699"/>
      <c r="F93" s="80"/>
      <c r="G93" s="829" t="s">
        <v>55</v>
      </c>
      <c r="H93" s="830"/>
      <c r="I93" s="831"/>
      <c r="J93" s="832">
        <f>+SUMIF(J9:J68,G93,AF9:AF69)</f>
        <v>5198482.6333560888</v>
      </c>
      <c r="K93" s="833"/>
      <c r="L93" s="834">
        <f>+SUMIF($J$9:$J$69,G93,$O$9:$O$69)</f>
        <v>7058482.6333560897</v>
      </c>
      <c r="M93" s="835"/>
      <c r="N93" s="217">
        <f>+L92+L93-I83</f>
        <v>0</v>
      </c>
      <c r="P93" s="316"/>
      <c r="Q93" s="316"/>
      <c r="R93" s="316"/>
      <c r="S93" s="61"/>
      <c r="T93" s="172"/>
      <c r="AE93" s="173"/>
      <c r="AF93" s="5"/>
      <c r="AG93"/>
      <c r="AH93" s="2"/>
    </row>
    <row r="94" spans="1:34" x14ac:dyDescent="0.25">
      <c r="A94" s="60"/>
      <c r="B94" s="696"/>
      <c r="C94" s="60"/>
      <c r="D94" s="60"/>
      <c r="E94" s="699"/>
      <c r="F94" s="80"/>
      <c r="G94" s="836" t="s">
        <v>124</v>
      </c>
      <c r="H94" s="837"/>
      <c r="I94" s="838"/>
      <c r="J94" s="839">
        <f>+J92/M101</f>
        <v>26075963.55133754</v>
      </c>
      <c r="K94" s="840"/>
      <c r="L94" s="841">
        <f>+L92/M101</f>
        <v>27191844.218004208</v>
      </c>
      <c r="M94" s="842"/>
      <c r="N94" s="61"/>
      <c r="P94" s="316"/>
      <c r="Q94" s="316"/>
      <c r="R94" s="316"/>
      <c r="S94" s="61"/>
      <c r="T94" s="172"/>
      <c r="AE94" s="173"/>
      <c r="AF94" s="5"/>
      <c r="AG94"/>
      <c r="AH94" s="2"/>
    </row>
    <row r="95" spans="1:34" ht="15.75" thickBot="1" x14ac:dyDescent="0.3">
      <c r="A95" s="60"/>
      <c r="B95" s="696"/>
      <c r="C95" s="60"/>
      <c r="D95" s="60"/>
      <c r="E95" s="699"/>
      <c r="F95" s="80"/>
      <c r="G95" s="843" t="s">
        <v>125</v>
      </c>
      <c r="H95" s="844"/>
      <c r="I95" s="845"/>
      <c r="J95" s="846">
        <f>+J93/M101</f>
        <v>866413.77222601476</v>
      </c>
      <c r="K95" s="847"/>
      <c r="L95" s="848">
        <f>+L93/M101</f>
        <v>1176413.7722260149</v>
      </c>
      <c r="M95" s="849"/>
      <c r="N95" s="720"/>
      <c r="O95" s="61"/>
      <c r="P95" s="316"/>
      <c r="Q95" s="316"/>
      <c r="R95" s="316"/>
      <c r="S95" s="61"/>
      <c r="T95" s="172"/>
      <c r="AE95" s="173"/>
      <c r="AF95" s="5"/>
      <c r="AG95"/>
      <c r="AH95" s="2"/>
    </row>
    <row r="96" spans="1:34" ht="15.75" thickBot="1" x14ac:dyDescent="0.3">
      <c r="A96" s="60"/>
      <c r="B96" s="696"/>
      <c r="C96" s="60"/>
      <c r="D96" s="60"/>
      <c r="E96" s="699"/>
      <c r="F96" s="84"/>
      <c r="G96" s="84"/>
      <c r="H96" s="85"/>
      <c r="I96" s="85"/>
      <c r="J96" s="79"/>
      <c r="K96" s="85"/>
      <c r="L96" s="86"/>
      <c r="M96" s="83"/>
      <c r="N96" s="83"/>
      <c r="O96" s="61"/>
      <c r="P96" s="316"/>
      <c r="Q96" s="316"/>
      <c r="R96" s="316"/>
      <c r="S96" s="61"/>
      <c r="T96" s="172"/>
      <c r="AE96" s="173"/>
      <c r="AF96" s="5"/>
      <c r="AG96"/>
      <c r="AH96" s="2"/>
    </row>
    <row r="97" spans="1:34" x14ac:dyDescent="0.25">
      <c r="A97" s="60"/>
      <c r="B97" s="696"/>
      <c r="C97" s="60"/>
      <c r="D97" s="60"/>
      <c r="E97" s="699"/>
      <c r="F97" s="80"/>
      <c r="G97" s="852" t="s">
        <v>468</v>
      </c>
      <c r="H97" s="853"/>
      <c r="I97" s="853"/>
      <c r="J97" s="796">
        <f>+I83/M101</f>
        <v>28368257.990230218</v>
      </c>
      <c r="K97" s="797"/>
      <c r="L97" s="86"/>
      <c r="M97" s="83"/>
      <c r="N97" s="86"/>
      <c r="O97" s="61"/>
      <c r="P97" s="316"/>
      <c r="Q97" s="316"/>
      <c r="R97" s="316"/>
      <c r="S97" s="61"/>
      <c r="T97" s="172"/>
      <c r="AE97" s="173"/>
      <c r="AF97"/>
      <c r="AG97"/>
      <c r="AH97" s="2"/>
    </row>
    <row r="98" spans="1:34" x14ac:dyDescent="0.25">
      <c r="A98" s="60"/>
      <c r="B98" s="696"/>
      <c r="C98" s="60"/>
      <c r="D98" s="60"/>
      <c r="E98" s="699"/>
      <c r="F98" s="80"/>
      <c r="G98" s="854" t="s">
        <v>424</v>
      </c>
      <c r="H98" s="855"/>
      <c r="I98" s="855"/>
      <c r="J98" s="794">
        <f>+I84/M101</f>
        <v>26942377.32356355</v>
      </c>
      <c r="K98" s="795"/>
      <c r="L98" s="86"/>
      <c r="M98" s="83"/>
      <c r="N98" s="86"/>
      <c r="O98" s="61"/>
      <c r="P98" s="315"/>
      <c r="Q98" s="315"/>
      <c r="R98" s="315"/>
      <c r="S98" s="61"/>
      <c r="T98" s="172"/>
      <c r="AE98" s="173"/>
      <c r="AF98"/>
      <c r="AG98"/>
      <c r="AH98" s="2"/>
    </row>
    <row r="99" spans="1:34" ht="15.75" thickBot="1" x14ac:dyDescent="0.3">
      <c r="A99" s="60"/>
      <c r="B99" s="696"/>
      <c r="C99" s="60"/>
      <c r="D99" s="60"/>
      <c r="E99" s="699"/>
      <c r="F99" s="80"/>
      <c r="G99" s="850" t="s">
        <v>69</v>
      </c>
      <c r="H99" s="851"/>
      <c r="I99" s="851"/>
      <c r="J99" s="792">
        <f>+L116/M101</f>
        <v>5.333333333333333</v>
      </c>
      <c r="K99" s="793"/>
      <c r="L99" s="86"/>
      <c r="M99" s="83"/>
      <c r="N99" s="722"/>
      <c r="O99" s="61"/>
      <c r="P99" s="315"/>
      <c r="Q99" s="315"/>
      <c r="R99" s="315"/>
      <c r="S99" s="61"/>
      <c r="T99" s="172"/>
      <c r="AE99" s="173"/>
      <c r="AF99"/>
      <c r="AG99"/>
      <c r="AH99" s="2"/>
    </row>
    <row r="100" spans="1:34" ht="15.75" thickBot="1" x14ac:dyDescent="0.3">
      <c r="A100" s="60"/>
      <c r="B100" s="696"/>
      <c r="C100" s="60"/>
      <c r="D100" s="60"/>
      <c r="E100" s="699"/>
      <c r="F100" s="84"/>
      <c r="G100" s="84"/>
      <c r="H100" s="83"/>
      <c r="I100" s="83"/>
      <c r="J100" s="86"/>
      <c r="K100" s="86"/>
      <c r="L100" s="86"/>
      <c r="M100" s="61"/>
      <c r="N100" s="390"/>
      <c r="O100" s="316"/>
      <c r="P100" s="316"/>
      <c r="Q100" s="316"/>
      <c r="R100" s="316"/>
      <c r="S100" s="61"/>
      <c r="T100" s="172"/>
      <c r="AC100" s="173"/>
      <c r="AD100" s="173"/>
      <c r="AE100"/>
      <c r="AF100"/>
      <c r="AG100" s="5"/>
    </row>
    <row r="101" spans="1:34" ht="15.75" thickBot="1" x14ac:dyDescent="0.3">
      <c r="A101" s="60"/>
      <c r="B101" s="696"/>
      <c r="C101" s="60"/>
      <c r="D101" s="60"/>
      <c r="E101" s="699"/>
      <c r="F101" s="82"/>
      <c r="G101" s="82"/>
      <c r="H101" s="81"/>
      <c r="I101" s="81"/>
      <c r="J101" s="79"/>
      <c r="K101" s="79"/>
      <c r="L101" s="87" t="s">
        <v>26</v>
      </c>
      <c r="M101" s="88">
        <v>6</v>
      </c>
      <c r="N101" s="723"/>
      <c r="O101" s="315"/>
      <c r="P101" s="61"/>
      <c r="Q101" s="61"/>
      <c r="R101" s="315"/>
      <c r="S101" s="61"/>
      <c r="T101" s="172"/>
      <c r="AD101" s="173"/>
      <c r="AE101" s="173"/>
      <c r="AF101"/>
      <c r="AG101"/>
    </row>
    <row r="102" spans="1:34" ht="15.75" thickBot="1" x14ac:dyDescent="0.3">
      <c r="A102" s="60"/>
      <c r="B102" s="696"/>
      <c r="C102" s="60"/>
      <c r="D102" s="60"/>
      <c r="E102" s="699"/>
      <c r="F102" s="80"/>
      <c r="G102" s="714" t="s">
        <v>21</v>
      </c>
      <c r="H102" s="698" t="s">
        <v>483</v>
      </c>
      <c r="I102" s="90" t="s">
        <v>484</v>
      </c>
      <c r="J102" s="91" t="s">
        <v>40</v>
      </c>
      <c r="K102" s="91" t="s">
        <v>20</v>
      </c>
      <c r="L102" s="92" t="s">
        <v>16</v>
      </c>
      <c r="M102" s="92" t="s">
        <v>32</v>
      </c>
      <c r="N102" s="85"/>
      <c r="O102" s="315"/>
      <c r="P102" s="61"/>
      <c r="Q102" s="61"/>
      <c r="R102" s="315"/>
      <c r="S102" s="61"/>
      <c r="T102" s="172"/>
      <c r="AD102" s="173"/>
      <c r="AE102" s="173"/>
      <c r="AF102"/>
      <c r="AG102"/>
    </row>
    <row r="103" spans="1:34" x14ac:dyDescent="0.25">
      <c r="A103" s="60"/>
      <c r="B103" s="696"/>
      <c r="C103" s="60"/>
      <c r="D103" s="60"/>
      <c r="E103" s="699"/>
      <c r="F103" s="80"/>
      <c r="G103" s="715" t="s">
        <v>4</v>
      </c>
      <c r="H103" s="700">
        <f>+SUMIF($K$9:$K$69,G103,$O$9:$O$69)</f>
        <v>28751000</v>
      </c>
      <c r="I103" s="162">
        <f>+SUMIF($K$9:$K$69,G103,$U$9:$U$69)+SUMIF($K$9:$K$69,G103,$V$9:$V$69)+SUMIF($K$9:$K$69,G103,$W$9:$W$69)+SUMIF($K$9:$K$69,G103,$X$9:$X$69)+SUMIF($K$9:$K$69,G103,$Y$9:$Y$69)+SUMIF($K$9:$K$69,G103,$Z$9:$Z$69)+SUMIF($K$9:$K$69,G103,$AA$9:$AA$69)+SUMIF($K$9:$K$69,G103,$AE$9:$AE$69)+SUMIF($K$9:$K$69,G103,$T$9:$T$69)+SUMIF($K$9:$K$69,G103,$AB$9:$AB$69)+SUMIF($K$9:$K$69,G103,$AC$9:$AC$69)+SUMIF($K$9:$K$69,G103,$AD$9:$AD$69)</f>
        <v>28751000</v>
      </c>
      <c r="J103" s="162">
        <f>+I103/$M$101</f>
        <v>4791833.333333333</v>
      </c>
      <c r="K103" s="94">
        <f>+J103/$J$116</f>
        <v>0.17785488176436609</v>
      </c>
      <c r="L103" s="95">
        <f>+COUNTIFS($J$9:$J$69,$G$92,$K$9:$K$69,G103)</f>
        <v>5</v>
      </c>
      <c r="M103" s="96">
        <f>+COUNTIFS($J$9:$J$69,$G$93,$K$9:$K$69,G103)</f>
        <v>0</v>
      </c>
      <c r="N103" s="83"/>
      <c r="O103" s="315"/>
      <c r="P103" s="61"/>
      <c r="Q103" s="61"/>
      <c r="R103" s="315"/>
      <c r="S103" s="61"/>
      <c r="T103" s="172"/>
      <c r="AD103" s="173"/>
      <c r="AE103" s="173"/>
      <c r="AF103"/>
      <c r="AG103"/>
    </row>
    <row r="104" spans="1:34" x14ac:dyDescent="0.25">
      <c r="A104" s="60"/>
      <c r="B104" s="696"/>
      <c r="C104" s="60"/>
      <c r="D104" s="60"/>
      <c r="E104" s="699"/>
      <c r="F104" s="80"/>
      <c r="G104" s="716" t="s">
        <v>9</v>
      </c>
      <c r="H104" s="705">
        <f>+SUMIF($K$9:$K$69,G104,$O$9:$O$69)</f>
        <v>0</v>
      </c>
      <c r="I104" s="160">
        <f>+SUMIF($K$9:$K$69,G104,$U$9:$U$69)+SUMIF($K$9:$K$69,G104,$V$9:$V$69)+SUMIF($K$9:$K$69,G104,$W$9:$W$69)+SUMIF($K$9:$K$69,G104,$X$9:$X$69)+SUMIF($K$9:$K$69,G104,$Y$9:$Y$69)+SUMIF($K$9:$K$69,G104,$Z$9:$Z$69)+SUMIF($K$9:$K$69,G104,$AA$9:$AA$69)+SUMIF($K$9:$K$69,G104,$AE$9:$AE$69)+SUMIF($K$9:$K$69,G104,$T$9:$T$69)+SUMIF($K$9:$K$69,G104,$AB$9:$AB$69)+SUMIF($K$9:$K$69,G104,$AC$9:$AC$69)+SUMIF($K$9:$K$69,G104,$AD$9:$AD$69)</f>
        <v>0</v>
      </c>
      <c r="J104" s="160">
        <f>+I104/$M$101</f>
        <v>0</v>
      </c>
      <c r="K104" s="98">
        <f>+J104/$J$116</f>
        <v>0</v>
      </c>
      <c r="L104" s="76">
        <f>+COUNTIFS($J$9:$J$69,$G$92,$K$9:$K$69,G104)</f>
        <v>0</v>
      </c>
      <c r="M104" s="99">
        <f>+COUNTIFS($J$9:$J$69,$G$93,$K$9:$K$69,G104)</f>
        <v>0</v>
      </c>
      <c r="N104" s="83"/>
      <c r="O104" s="315"/>
      <c r="P104" s="61"/>
      <c r="Q104" s="61"/>
      <c r="R104" s="315"/>
      <c r="S104" s="61"/>
      <c r="T104" s="172"/>
      <c r="AD104" s="173"/>
      <c r="AE104" s="173"/>
      <c r="AF104"/>
      <c r="AG104"/>
    </row>
    <row r="105" spans="1:34" ht="15.75" thickBot="1" x14ac:dyDescent="0.3">
      <c r="A105" s="60"/>
      <c r="B105" s="696"/>
      <c r="C105" s="60"/>
      <c r="D105" s="60"/>
      <c r="E105" s="699"/>
      <c r="F105" s="80"/>
      <c r="G105" s="717" t="s">
        <v>8</v>
      </c>
      <c r="H105" s="701">
        <f>+SUMIF($K$9:$K$69,G105,$O$9:$O$69)</f>
        <v>0</v>
      </c>
      <c r="I105" s="102">
        <f>+SUMIF($K$9:$K$69,G105,$U$9:$U$69)+SUMIF($K$9:$K$69,G105,$V$9:$V$69)+SUMIF($K$9:$K$69,G105,$W$9:$W$69)+SUMIF($K$9:$K$69,G105,$X$9:$X$69)+SUMIF($K$9:$K$69,G105,$Y$9:$Y$69)+SUMIF($K$9:$K$69,G105,$Z$9:$Z$69)+SUMIF($K$9:$K$69,G105,$AA$9:$AA$69)+SUMIF($K$9:$K$69,G105,$AE$9:$AE$69)+SUMIF($K$9:$K$69,G105,$T$9:$T$69)+SUMIF($K$9:$K$69,G105,$AB$9:$AB$69)+SUMIF($K$9:$K$69,G105,$AC$9:$AC$69)+SUMIF($K$9:$K$69,G105,$AD$9:$AD$69)</f>
        <v>0</v>
      </c>
      <c r="J105" s="102">
        <f>+I105/$M$101</f>
        <v>0</v>
      </c>
      <c r="K105" s="103">
        <f>+J105/$J$116</f>
        <v>0</v>
      </c>
      <c r="L105" s="104">
        <f>+COUNTIFS($J$9:$J$69,$G$92,$K$9:$K$69,G105)</f>
        <v>0</v>
      </c>
      <c r="M105" s="105">
        <f>+COUNTIFS($J$9:$J$69,$G$93,$K$9:$K$69,G105)</f>
        <v>0</v>
      </c>
      <c r="N105" s="83"/>
      <c r="O105" s="315"/>
      <c r="P105" s="61"/>
      <c r="Q105" s="61"/>
      <c r="R105" s="315"/>
      <c r="S105" s="61"/>
      <c r="T105" s="172"/>
      <c r="AD105" s="173"/>
      <c r="AE105" s="173"/>
      <c r="AF105"/>
      <c r="AG105"/>
    </row>
    <row r="106" spans="1:34" ht="15.75" thickBot="1" x14ac:dyDescent="0.3">
      <c r="A106" s="60"/>
      <c r="B106" s="696"/>
      <c r="C106" s="60"/>
      <c r="D106" s="60"/>
      <c r="E106" s="699"/>
      <c r="F106" s="80"/>
      <c r="G106" s="718" t="s">
        <v>17</v>
      </c>
      <c r="H106" s="704">
        <f>SUM(H103:H105)</f>
        <v>28751000</v>
      </c>
      <c r="I106" s="107">
        <f>SUM(I103:I105)</f>
        <v>28751000</v>
      </c>
      <c r="J106" s="107">
        <f>SUM(J103:J105)</f>
        <v>4791833.333333333</v>
      </c>
      <c r="K106" s="108"/>
      <c r="L106" s="109">
        <f>SUM(L103:L105)</f>
        <v>5</v>
      </c>
      <c r="M106" s="109">
        <f>SUM(M103:M105)</f>
        <v>0</v>
      </c>
      <c r="N106" s="85"/>
      <c r="O106" s="315"/>
      <c r="P106" s="61"/>
      <c r="Q106" s="61"/>
      <c r="R106" s="315"/>
      <c r="S106" s="61"/>
      <c r="T106" s="172"/>
      <c r="AD106" s="173"/>
      <c r="AE106" s="173"/>
      <c r="AF106"/>
      <c r="AG106"/>
    </row>
    <row r="107" spans="1:34" ht="15.75" thickBot="1" x14ac:dyDescent="0.3">
      <c r="A107" s="60"/>
      <c r="B107" s="696"/>
      <c r="C107" s="60"/>
      <c r="D107" s="60"/>
      <c r="E107" s="699"/>
      <c r="F107" s="80"/>
      <c r="G107" s="79"/>
      <c r="H107" s="79"/>
      <c r="I107" s="79"/>
      <c r="J107" s="79"/>
      <c r="K107" s="108"/>
      <c r="L107" s="79"/>
      <c r="M107" s="79"/>
      <c r="N107" s="721"/>
      <c r="O107" s="315"/>
      <c r="P107" s="61"/>
      <c r="Q107" s="61"/>
      <c r="R107" s="315"/>
      <c r="S107" s="61"/>
      <c r="T107" s="172"/>
      <c r="AD107" s="173"/>
      <c r="AE107" s="173"/>
      <c r="AF107"/>
      <c r="AG107"/>
    </row>
    <row r="108" spans="1:34" x14ac:dyDescent="0.25">
      <c r="A108" s="60"/>
      <c r="B108" s="696"/>
      <c r="C108" s="60"/>
      <c r="D108" s="60"/>
      <c r="E108" s="699"/>
      <c r="F108" s="80"/>
      <c r="G108" s="710" t="s">
        <v>6</v>
      </c>
      <c r="H108" s="700">
        <f>+SUMIF($K$9:$K$69,G108,$O$9:$O$69)</f>
        <v>32077000</v>
      </c>
      <c r="I108" s="162">
        <f>+SUMIF($K$9:$K$69,G108,$U$9:$U$69)+SUMIF($K$9:$K$69,G108,$V$9:$V$69)+SUMIF($K$9:$K$69,G108,$W$9:$W$69)+SUMIF($K$9:$K$69,G108,$X$9:$X$69)+SUMIF($K$9:$K$69,G108,$Y$9:$Y$69)+SUMIF($K$9:$K$69,G108,$Z$9:$Z$69)+SUMIF($K$9:$K$69,G108,$AA$9:$AA$69)+SUMIF($K$9:$K$69,G108,$AE$9:$AE$69)+SUMIF($K$9:$K$69,G108,$T$9:$T$69)+SUMIF($K$9:$K$69,G108,$AB$9:$AB$69)+SUMIF($K$9:$K$69,G108,$AC$9:$AC$69)+SUMIF($K$9:$K$69,G108,$AD$9:$AD$69)</f>
        <v>30217000</v>
      </c>
      <c r="J108" s="162">
        <f>+I108/$M$101</f>
        <v>5036166.666666667</v>
      </c>
      <c r="K108" s="111">
        <f>+J108/$J$116</f>
        <v>0.18692361873583008</v>
      </c>
      <c r="L108" s="95">
        <f>+COUNTIFS($J$9:$J$69,$G$92,$K$9:$K$69,G108)</f>
        <v>4</v>
      </c>
      <c r="M108" s="96">
        <f>+COUNTIFS($J$9:$J$69,$G$93,$K$9:$K$69,G108)</f>
        <v>2</v>
      </c>
      <c r="N108" s="83"/>
      <c r="O108" s="315"/>
      <c r="P108" s="61"/>
      <c r="Q108" s="61"/>
      <c r="R108" s="315"/>
      <c r="S108" s="61"/>
      <c r="T108" s="172"/>
      <c r="AD108" s="173"/>
      <c r="AE108" s="173"/>
      <c r="AF108"/>
      <c r="AG108"/>
    </row>
    <row r="109" spans="1:34" ht="15.75" thickBot="1" x14ac:dyDescent="0.3">
      <c r="A109" s="60"/>
      <c r="B109" s="696"/>
      <c r="C109" s="60"/>
      <c r="D109" s="60"/>
      <c r="E109" s="699"/>
      <c r="F109" s="80"/>
      <c r="G109" s="711" t="s">
        <v>44</v>
      </c>
      <c r="H109" s="701">
        <f>+SUMIF($K$9:$K$69,G109,$O$9:$O$69)</f>
        <v>32005757</v>
      </c>
      <c r="I109" s="102">
        <f>+SUMIF($K$9:$K$69,G109,$U$9:$U$69)+SUMIF($K$9:$K$69,G109,$V$9:$V$69)+SUMIF($K$9:$K$69,G109,$W$9:$W$69)+SUMIF($K$9:$K$69,G109,$X$9:$X$69)+SUMIF($K$9:$K$69,G109,$Y$9:$Y$69)+SUMIF($K$9:$K$69,G109,$Z$9:$Z$69)+SUMIF($K$9:$K$69,G109,$AA$9:$AA$69)+SUMIF($K$9:$K$69,G109,$AE$9:$AE$69)+SUMIF($K$9:$K$69,G109,$T$9:$T$69)+SUMIF($K$9:$K$69,G109,$AB$9:$AB$69)+SUMIF($K$9:$K$69,G109,$AC$9:$AC$69)+SUMIF($K$9:$K$69,G109,$AD$9:$AD$69)</f>
        <v>25310472</v>
      </c>
      <c r="J109" s="102">
        <f>+I109/$M$101</f>
        <v>4218412</v>
      </c>
      <c r="K109" s="113">
        <f>+J109/$J$116</f>
        <v>0.15657163246357686</v>
      </c>
      <c r="L109" s="104">
        <f>+COUNTIFS($J$9:$J$69,$G$92,$K$9:$K$69,G109)</f>
        <v>6</v>
      </c>
      <c r="M109" s="105">
        <f>+COUNTIFS($J$9:$J$69,$G$93,$K$9:$K$69,G109)</f>
        <v>0</v>
      </c>
      <c r="N109" s="83"/>
      <c r="O109" s="315"/>
      <c r="P109" s="61"/>
      <c r="Q109" s="61"/>
      <c r="R109" s="315"/>
      <c r="S109" s="61"/>
      <c r="T109" s="172"/>
      <c r="AD109" s="173"/>
      <c r="AE109" s="173"/>
      <c r="AF109"/>
      <c r="AG109"/>
    </row>
    <row r="110" spans="1:34" ht="15.75" thickBot="1" x14ac:dyDescent="0.3">
      <c r="A110" s="60"/>
      <c r="B110" s="696"/>
      <c r="C110" s="60"/>
      <c r="D110" s="60"/>
      <c r="E110" s="699"/>
      <c r="F110" s="80"/>
      <c r="G110" s="712" t="s">
        <v>365</v>
      </c>
      <c r="H110" s="701">
        <f>+SUMIF($K$9:$K$69,G110,$O$9:$O$69)</f>
        <v>77375790.941381305</v>
      </c>
      <c r="I110" s="102">
        <f>+SUMIF($K$9:$K$69,G110,$U$9:$U$69)+SUMIF($K$9:$K$69,G110,$V$9:$V$69)+SUMIF($K$9:$K$69,G110,$W$9:$W$69)+SUMIF($K$9:$K$69,G110,$X$9:$X$69)+SUMIF($K$9:$K$69,G110,$Y$9:$Y$69)+SUMIF($K$9:$K$69,G110,$Z$9:$Z$69)+SUMIF($K$9:$K$69,G110,$AA$9:$AA$69)+SUMIF($K$9:$K$69,G110,$AE$9:$AE$69)+SUMIF($K$9:$K$69,G110,$T$9:$T$69)+SUMIF($K$9:$K$69,G110,$AB$9:$AB$69)+SUMIF($K$9:$K$69,G110,$AC$9:$AC$69)+SUMIF($K$9:$K$69,G110,$AD$9:$AD$69)</f>
        <v>77375791.941381305</v>
      </c>
      <c r="J110" s="102">
        <f>+I110/$M$101</f>
        <v>12895965.323563552</v>
      </c>
      <c r="K110" s="113">
        <f>+J110/$J$116</f>
        <v>0.47864986703622703</v>
      </c>
      <c r="L110" s="104">
        <f>+COUNTIFS($J$9:$J$69,$G$92,$K$9:$K$69,G110)</f>
        <v>17</v>
      </c>
      <c r="M110" s="105">
        <f>+COUNTIFS($J$9:$J$69,$G$93,$K$9:$K$69,G110)</f>
        <v>2</v>
      </c>
      <c r="N110" s="83"/>
      <c r="O110" s="315"/>
      <c r="P110" s="61"/>
      <c r="Q110" s="61"/>
      <c r="R110" s="315"/>
      <c r="S110" s="61"/>
      <c r="T110" s="172"/>
      <c r="AD110" s="173"/>
      <c r="AE110" s="173"/>
      <c r="AF110"/>
      <c r="AG110"/>
    </row>
    <row r="111" spans="1:34" ht="15.75" thickBot="1" x14ac:dyDescent="0.3">
      <c r="A111" s="60"/>
      <c r="B111" s="696"/>
      <c r="C111" s="60"/>
      <c r="D111" s="60"/>
      <c r="E111" s="699"/>
      <c r="F111" s="80"/>
      <c r="G111" s="713" t="s">
        <v>22</v>
      </c>
      <c r="H111" s="704">
        <f>+H108+H109+H110</f>
        <v>141458547.94138131</v>
      </c>
      <c r="I111" s="107">
        <f>+I108+I109+I110</f>
        <v>132903263.94138131</v>
      </c>
      <c r="J111" s="107">
        <f>+J108+J109+J110</f>
        <v>22150543.990230218</v>
      </c>
      <c r="K111" s="115"/>
      <c r="L111" s="109">
        <f>+L108+L109+L110</f>
        <v>27</v>
      </c>
      <c r="M111" s="109">
        <f>+M108+M109+M110</f>
        <v>4</v>
      </c>
      <c r="N111" s="85"/>
      <c r="O111" s="315"/>
      <c r="P111" s="61"/>
      <c r="Q111" s="61"/>
      <c r="R111" s="315"/>
      <c r="S111" s="61"/>
      <c r="T111" s="172"/>
      <c r="AD111" s="173"/>
      <c r="AE111" s="173"/>
      <c r="AF111"/>
      <c r="AG111"/>
    </row>
    <row r="112" spans="1:34" ht="15.75" thickBot="1" x14ac:dyDescent="0.3">
      <c r="A112" s="60"/>
      <c r="B112" s="696"/>
      <c r="C112" s="60"/>
      <c r="D112" s="60"/>
      <c r="E112" s="699"/>
      <c r="F112" s="80"/>
      <c r="G112" s="79"/>
      <c r="H112" s="83"/>
      <c r="I112" s="83"/>
      <c r="J112" s="81"/>
      <c r="K112" s="115"/>
      <c r="L112" s="81"/>
      <c r="M112" s="61"/>
      <c r="N112" s="390"/>
      <c r="O112" s="315"/>
      <c r="P112" s="61"/>
      <c r="Q112" s="61"/>
      <c r="R112" s="315"/>
      <c r="S112" s="61"/>
      <c r="T112" s="172"/>
      <c r="AD112" s="173"/>
      <c r="AE112" s="173"/>
      <c r="AF112"/>
      <c r="AG112"/>
    </row>
    <row r="113" spans="1:33" x14ac:dyDescent="0.25">
      <c r="A113" s="60"/>
      <c r="B113" s="696"/>
      <c r="C113" s="60"/>
      <c r="D113" s="60"/>
      <c r="E113" s="699"/>
      <c r="F113" s="80"/>
      <c r="G113" s="706" t="s">
        <v>13</v>
      </c>
      <c r="H113" s="700">
        <f>+SUMIF($K$9:$K$69,G113,$O$9:$O$69)</f>
        <v>0</v>
      </c>
      <c r="I113" s="162">
        <f>+SUMIF($K$9:$K$69,G113,$U$9:$U$69)+SUMIF($K$9:$K$69,G113,$V$9:$V$69)+SUMIF($K$9:$K$69,G113,$W$9:$W$69)+SUMIF($K$9:$K$69,G113,$X$9:$X$69)+SUMIF($K$9:$K$69,G113,$Y$9:$Y$69)+SUMIF($K$9:$K$69,G113,$Z$9:$Z$69)+SUMIF($K$9:$K$69,G113,$AA$9:$AA$69)+SUMIF($K$9:$K$69,G113,$AE$9:$AE$69)+SUMIF($K$9:$K$69,G113,$T$9:$T$69)+SUMIF($K$9:$K$69,G113,$AB$9:$AB$69)+SUMIF($K$9:$K$69,G113,$AC$9:$AC$69)+SUMIF($K$9:$K$69,G113,$AD$9:$AD$69)</f>
        <v>0</v>
      </c>
      <c r="J113" s="162">
        <f>+I113/$M$101</f>
        <v>0</v>
      </c>
      <c r="K113" s="117">
        <f>+J113/$J$116</f>
        <v>0</v>
      </c>
      <c r="L113" s="118">
        <f>+COUNTIFS($J$9:$J$69,$G$92,$K$9:$K$69,G113)</f>
        <v>0</v>
      </c>
      <c r="M113" s="119">
        <f>+COUNTIFS($J$9:$J$69,$G$93,$K$9:$K$69,G113)</f>
        <v>0</v>
      </c>
      <c r="N113" s="83"/>
      <c r="O113" s="315"/>
      <c r="P113" s="61"/>
      <c r="Q113" s="61"/>
      <c r="R113" s="315"/>
      <c r="S113" s="61"/>
      <c r="T113" s="172"/>
      <c r="AD113" s="173"/>
      <c r="AE113" s="173"/>
      <c r="AF113"/>
      <c r="AG113"/>
    </row>
    <row r="114" spans="1:33" ht="15.75" thickBot="1" x14ac:dyDescent="0.3">
      <c r="A114" s="60"/>
      <c r="B114" s="696"/>
      <c r="C114" s="60"/>
      <c r="D114" s="60"/>
      <c r="E114" s="699"/>
      <c r="F114" s="80"/>
      <c r="G114" s="707" t="s">
        <v>14</v>
      </c>
      <c r="H114" s="701">
        <f>+SUMIF($K$9:$K$69,G114,$O$9:$O$69)</f>
        <v>0</v>
      </c>
      <c r="I114" s="102">
        <f>+SUMIF($K$9:$K$69,G114,$U$9:$U$69)+SUMIF($K$9:$K$69,G114,$V$9:$V$69)+SUMIF($K$9:$K$69,G114,$W$9:$W$69)+SUMIF($K$9:$K$69,G114,$X$9:$X$69)+SUMIF($K$9:$K$69,G114,$Y$9:$Y$69)+SUMIF($K$9:$K$69,G114,$Z$9:$Z$69)+SUMIF($K$9:$K$69,G114,$AA$9:$AA$69)+SUMIF($K$9:$K$69,G114,$AE$9:$AE$69)+SUMIF($K$9:$K$69,G114,$T$9:$T$69)+SUMIF($K$9:$K$69,G114,$AB$9:$AB$69)+SUMIF($K$9:$K$69,G114,$AC$9:$AC$69)+SUMIF($K$9:$K$69,G114,$AD$9:$AD$69)</f>
        <v>0</v>
      </c>
      <c r="J114" s="102">
        <f>+I114/$M$101</f>
        <v>0</v>
      </c>
      <c r="K114" s="166">
        <f>+J114/$J$116</f>
        <v>0</v>
      </c>
      <c r="L114" s="164">
        <f>+COUNTIFS($J$9:$J$69,$G$92,$K$9:$K$69,G114)</f>
        <v>0</v>
      </c>
      <c r="M114" s="165">
        <f>+COUNTIFS($J$9:$J$69,$G$93,$K$9:$K$69,G114)</f>
        <v>0</v>
      </c>
      <c r="N114" s="83"/>
      <c r="O114" s="315"/>
      <c r="P114" s="61"/>
      <c r="Q114" s="61"/>
      <c r="R114" s="315"/>
      <c r="S114" s="61"/>
      <c r="T114" s="172"/>
      <c r="AD114" s="173"/>
      <c r="AE114" s="173"/>
      <c r="AF114"/>
      <c r="AG114"/>
    </row>
    <row r="115" spans="1:33" ht="15.75" thickBot="1" x14ac:dyDescent="0.3">
      <c r="A115" s="60"/>
      <c r="B115" s="696"/>
      <c r="C115" s="60"/>
      <c r="D115" s="60"/>
      <c r="E115" s="699"/>
      <c r="F115" s="80"/>
      <c r="G115" s="708" t="s">
        <v>22</v>
      </c>
      <c r="H115" s="702">
        <f>+H113+H114</f>
        <v>0</v>
      </c>
      <c r="I115" s="170">
        <f>+I113+I114</f>
        <v>0</v>
      </c>
      <c r="J115" s="171">
        <f>+J113+J114</f>
        <v>0</v>
      </c>
      <c r="K115" s="79"/>
      <c r="L115" s="167">
        <f>+L113+L114</f>
        <v>0</v>
      </c>
      <c r="M115" s="168">
        <f>+M113+M114</f>
        <v>0</v>
      </c>
      <c r="N115" s="85"/>
      <c r="O115" s="315"/>
      <c r="P115" s="61"/>
      <c r="Q115" s="61"/>
      <c r="R115" s="315"/>
      <c r="S115" s="61"/>
      <c r="T115" s="172"/>
      <c r="AD115" s="173"/>
      <c r="AE115" s="178"/>
      <c r="AF115"/>
      <c r="AG115"/>
    </row>
    <row r="116" spans="1:33" ht="15.75" thickBot="1" x14ac:dyDescent="0.3">
      <c r="A116" s="60"/>
      <c r="B116" s="696"/>
      <c r="C116" s="60"/>
      <c r="D116" s="60"/>
      <c r="E116" s="699"/>
      <c r="F116" s="80"/>
      <c r="G116" s="709" t="s">
        <v>23</v>
      </c>
      <c r="H116" s="703">
        <f>+H115+H111+H106</f>
        <v>170209547.94138131</v>
      </c>
      <c r="I116" s="123">
        <f>+I115+I111+I106</f>
        <v>161654263.94138131</v>
      </c>
      <c r="J116" s="123">
        <f>+J115+J111+J106</f>
        <v>26942377.32356355</v>
      </c>
      <c r="K116" s="79"/>
      <c r="L116" s="124">
        <f>+L115+L111+L106</f>
        <v>32</v>
      </c>
      <c r="M116" s="125">
        <f>+M115+M111+M106</f>
        <v>4</v>
      </c>
      <c r="N116" s="724"/>
      <c r="O116" s="176"/>
      <c r="P116" s="61"/>
      <c r="Q116" s="61"/>
      <c r="R116" s="315"/>
      <c r="S116" s="61"/>
      <c r="T116" s="172"/>
      <c r="AD116" s="173"/>
      <c r="AE116" s="173"/>
      <c r="AF116"/>
      <c r="AG116"/>
    </row>
    <row r="117" spans="1:33" ht="15.75" thickBot="1" x14ac:dyDescent="0.3">
      <c r="A117" s="60"/>
      <c r="B117" s="696"/>
      <c r="C117" s="60"/>
      <c r="D117" s="60"/>
      <c r="E117" s="699"/>
      <c r="F117" s="80"/>
      <c r="G117" s="126" t="s">
        <v>25</v>
      </c>
      <c r="H117" s="127">
        <f>+I83-H116</f>
        <v>0</v>
      </c>
      <c r="I117" s="127">
        <f>+I84-I116</f>
        <v>0</v>
      </c>
      <c r="J117" s="127">
        <f>+J116-J98</f>
        <v>0</v>
      </c>
      <c r="K117" s="79"/>
      <c r="L117" s="820">
        <f>+L116+M116</f>
        <v>36</v>
      </c>
      <c r="M117" s="821"/>
      <c r="N117" s="725"/>
      <c r="O117" s="391"/>
      <c r="P117" s="61"/>
      <c r="Q117" s="61"/>
      <c r="R117" s="315"/>
      <c r="S117" s="61"/>
      <c r="T117" s="316"/>
      <c r="AE117" s="173"/>
      <c r="AF117" s="173"/>
      <c r="AG117"/>
    </row>
    <row r="118" spans="1:33" x14ac:dyDescent="0.25">
      <c r="A118" s="60"/>
      <c r="B118" s="696"/>
      <c r="C118" s="60"/>
      <c r="D118" s="60"/>
      <c r="E118" s="699"/>
      <c r="F118" s="126"/>
      <c r="G118" s="126"/>
      <c r="H118" s="127"/>
      <c r="I118" s="127"/>
      <c r="J118" s="127"/>
      <c r="K118" s="79"/>
      <c r="L118" s="79"/>
      <c r="M118" s="79"/>
      <c r="N118" s="721"/>
      <c r="O118" s="390"/>
      <c r="P118" s="61"/>
      <c r="Q118" s="61"/>
      <c r="R118" s="315"/>
      <c r="S118" s="61"/>
      <c r="T118" s="316"/>
      <c r="AE118" s="173"/>
      <c r="AF118" s="173"/>
      <c r="AG118"/>
    </row>
    <row r="119" spans="1:33" x14ac:dyDescent="0.25">
      <c r="A119" s="60"/>
      <c r="B119" s="696"/>
      <c r="C119" s="60"/>
      <c r="D119" s="60"/>
      <c r="E119" s="699"/>
      <c r="F119" s="80"/>
      <c r="G119" s="80"/>
      <c r="H119" s="79"/>
      <c r="I119" s="60"/>
      <c r="J119" s="127"/>
      <c r="K119" s="79"/>
      <c r="L119" s="79"/>
      <c r="M119" s="79"/>
      <c r="N119" s="721"/>
      <c r="O119" s="61"/>
      <c r="P119" s="61"/>
      <c r="Q119" s="61"/>
      <c r="R119" s="315"/>
      <c r="S119" s="61"/>
      <c r="T119" s="316"/>
      <c r="AE119" s="173"/>
      <c r="AF119" s="173"/>
      <c r="AG119"/>
    </row>
    <row r="120" spans="1:33" x14ac:dyDescent="0.25">
      <c r="A120" s="60"/>
      <c r="B120" s="696"/>
      <c r="C120" s="60"/>
      <c r="D120" s="60"/>
      <c r="E120" s="699"/>
      <c r="F120" s="80"/>
      <c r="G120" s="80"/>
      <c r="H120" s="79"/>
      <c r="I120" s="138" t="s">
        <v>61</v>
      </c>
      <c r="J120" s="126"/>
      <c r="K120" s="126"/>
      <c r="L120" s="79"/>
      <c r="M120" s="61"/>
      <c r="N120" s="390"/>
      <c r="O120" s="315"/>
      <c r="P120" s="61"/>
      <c r="Q120" s="61"/>
      <c r="R120" s="315"/>
      <c r="S120" s="61"/>
      <c r="T120" s="172"/>
      <c r="AD120" s="173"/>
      <c r="AE120" s="173"/>
      <c r="AF120"/>
      <c r="AG120"/>
    </row>
    <row r="121" spans="1:33" x14ac:dyDescent="0.25">
      <c r="A121" s="60"/>
      <c r="B121" s="696"/>
      <c r="C121" s="60"/>
      <c r="D121" s="60"/>
      <c r="E121" s="699"/>
      <c r="F121" s="80"/>
      <c r="G121" s="80"/>
      <c r="H121" s="79"/>
      <c r="I121" s="79"/>
      <c r="J121" s="70" t="s">
        <v>375</v>
      </c>
      <c r="K121" s="70" t="s">
        <v>68</v>
      </c>
      <c r="L121" s="70" t="s">
        <v>60</v>
      </c>
      <c r="M121" s="70" t="s">
        <v>3</v>
      </c>
      <c r="N121" s="85"/>
      <c r="O121" s="60"/>
      <c r="P121" s="61"/>
      <c r="Q121" s="61"/>
      <c r="R121" s="315"/>
      <c r="S121" s="61"/>
      <c r="T121" s="172"/>
      <c r="AD121" s="173"/>
      <c r="AE121" s="173"/>
      <c r="AF121"/>
      <c r="AG121"/>
    </row>
    <row r="122" spans="1:33" x14ac:dyDescent="0.25">
      <c r="A122" s="60"/>
      <c r="B122" s="696"/>
      <c r="C122" s="60"/>
      <c r="D122" s="60"/>
      <c r="E122" s="699"/>
      <c r="F122" s="80"/>
      <c r="G122" s="80"/>
      <c r="H122" s="79"/>
      <c r="I122" s="71" t="s">
        <v>3</v>
      </c>
      <c r="J122" s="72">
        <f>+COUNTIF($H$9:$H$69,J121)</f>
        <v>8</v>
      </c>
      <c r="K122" s="72">
        <f>+COUNTIF($H$9:$H$69,K121)</f>
        <v>20</v>
      </c>
      <c r="L122" s="72">
        <f>+COUNTIF($H$9:$H$69,L121)</f>
        <v>8</v>
      </c>
      <c r="M122" s="72">
        <f>+J122+K122+L122</f>
        <v>36</v>
      </c>
      <c r="N122" s="183">
        <f>+M122-L117</f>
        <v>0</v>
      </c>
      <c r="P122" s="61"/>
      <c r="Q122" s="61"/>
      <c r="R122" s="315"/>
      <c r="S122" s="61"/>
      <c r="T122" s="172"/>
      <c r="AD122" s="173"/>
      <c r="AE122" s="173"/>
      <c r="AF122"/>
      <c r="AG122"/>
    </row>
    <row r="123" spans="1:33" x14ac:dyDescent="0.25">
      <c r="A123" s="60"/>
      <c r="B123" s="696"/>
      <c r="C123" s="60"/>
      <c r="D123" s="60"/>
      <c r="E123" s="699"/>
      <c r="F123" s="80"/>
      <c r="G123" s="80"/>
      <c r="H123" s="79"/>
      <c r="I123" s="76" t="s">
        <v>55</v>
      </c>
      <c r="J123" s="77">
        <f>+COUNTIFS($H$9:$H$69,$J$121,$J$9:$J$69,I123)</f>
        <v>0</v>
      </c>
      <c r="K123" s="77">
        <f>+COUNTIFS($H$9:$H$69,$K$121,$J$9:$J$69,I123)</f>
        <v>2</v>
      </c>
      <c r="L123" s="77">
        <f>+COUNTIFS($H$9:$H$69,$L$121,$J$9:$J$69,I123)</f>
        <v>2</v>
      </c>
      <c r="M123" s="72">
        <f t="shared" ref="M123:M124" si="26">+J123+K123+L123</f>
        <v>4</v>
      </c>
      <c r="N123" s="726"/>
      <c r="O123" s="60"/>
      <c r="P123" s="61"/>
      <c r="Q123" s="61"/>
      <c r="R123" s="315"/>
      <c r="S123" s="61"/>
      <c r="T123" s="172"/>
      <c r="AD123" s="173"/>
      <c r="AE123" s="173"/>
      <c r="AF123"/>
      <c r="AG123"/>
    </row>
    <row r="124" spans="1:33" x14ac:dyDescent="0.25">
      <c r="A124" s="60"/>
      <c r="B124" s="696"/>
      <c r="C124" s="60"/>
      <c r="D124" s="60"/>
      <c r="E124" s="699"/>
      <c r="F124" s="126"/>
      <c r="G124" s="126"/>
      <c r="H124" s="127"/>
      <c r="I124" s="78" t="s">
        <v>54</v>
      </c>
      <c r="J124" s="77">
        <f>+COUNTIFS($H$9:$H$69,$J$121,$J$9:$J$69,I124)</f>
        <v>8</v>
      </c>
      <c r="K124" s="77">
        <f>+COUNTIFS($H$9:$H$69,$K$121,$J$9:$J$69,I124)</f>
        <v>18</v>
      </c>
      <c r="L124" s="77">
        <f>+COUNTIFS($H$9:$H$69,$L$121,$J$9:$J$69,I124)</f>
        <v>6</v>
      </c>
      <c r="M124" s="72">
        <f t="shared" si="26"/>
        <v>32</v>
      </c>
      <c r="N124" s="726"/>
      <c r="O124" s="60"/>
      <c r="P124" s="61"/>
      <c r="Q124" s="61"/>
      <c r="R124" s="315"/>
      <c r="S124" s="61"/>
      <c r="T124" s="172"/>
      <c r="AD124" s="173"/>
      <c r="AE124" s="173"/>
      <c r="AF124"/>
      <c r="AG124"/>
    </row>
    <row r="125" spans="1:33" x14ac:dyDescent="0.25">
      <c r="A125" s="60"/>
      <c r="B125" s="696"/>
      <c r="C125" s="60"/>
      <c r="D125" s="60"/>
      <c r="E125" s="699"/>
      <c r="F125" s="80"/>
      <c r="G125" s="80"/>
      <c r="H125" s="694"/>
      <c r="I125" s="694"/>
      <c r="J125" s="79"/>
      <c r="K125" s="79"/>
      <c r="L125" s="79"/>
      <c r="M125" s="61"/>
      <c r="N125" s="390"/>
      <c r="O125" s="61"/>
      <c r="P125" s="61"/>
      <c r="Q125" s="61"/>
      <c r="R125" s="315"/>
      <c r="S125" s="61"/>
      <c r="T125" s="316"/>
      <c r="AF125" s="173"/>
      <c r="AG125"/>
    </row>
    <row r="126" spans="1:33" x14ac:dyDescent="0.25">
      <c r="B126" s="696"/>
      <c r="C126" s="60"/>
      <c r="F126" s="695"/>
      <c r="G126" s="695"/>
      <c r="H126" s="60"/>
      <c r="I126" s="60"/>
      <c r="J126" s="60"/>
      <c r="K126" s="60"/>
      <c r="L126" s="60"/>
      <c r="M126" s="60"/>
      <c r="N126" s="55"/>
      <c r="O126" s="60"/>
      <c r="P126" s="61"/>
      <c r="Q126" s="61"/>
      <c r="R126" s="315"/>
      <c r="S126" s="61"/>
      <c r="T126" s="386"/>
      <c r="AF126" s="173"/>
      <c r="AG126"/>
    </row>
    <row r="127" spans="1:33" x14ac:dyDescent="0.25">
      <c r="B127" s="60"/>
      <c r="C127" s="60"/>
      <c r="F127" s="7"/>
      <c r="H127"/>
      <c r="M127" s="8"/>
      <c r="N127" s="727"/>
      <c r="O127" s="8"/>
      <c r="R127" s="315"/>
      <c r="S127" s="61"/>
      <c r="T127" s="386"/>
      <c r="AF127" s="173"/>
      <c r="AG127"/>
    </row>
    <row r="128" spans="1:33" x14ac:dyDescent="0.25">
      <c r="F128" s="7"/>
      <c r="H128"/>
      <c r="M128" s="8"/>
      <c r="N128" s="727"/>
      <c r="O128" s="8"/>
      <c r="R128" s="172"/>
      <c r="S128" s="61"/>
      <c r="T128" s="386"/>
      <c r="AF128" s="173"/>
      <c r="AG128"/>
    </row>
    <row r="129" spans="6:33" x14ac:dyDescent="0.25">
      <c r="F129" s="7"/>
      <c r="H129"/>
      <c r="M129" s="8"/>
      <c r="N129" s="8"/>
      <c r="O129" s="8"/>
      <c r="R129" s="172"/>
      <c r="S129" s="61"/>
      <c r="T129" s="386"/>
      <c r="AF129" s="173"/>
      <c r="AG129"/>
    </row>
  </sheetData>
  <autoFilter ref="F8:AG70"/>
  <mergeCells count="42">
    <mergeCell ref="C28:C34"/>
    <mergeCell ref="C48:C52"/>
    <mergeCell ref="C53:C57"/>
    <mergeCell ref="C58:C62"/>
    <mergeCell ref="C63:C68"/>
    <mergeCell ref="C35:C44"/>
    <mergeCell ref="F5:AG5"/>
    <mergeCell ref="C7:S7"/>
    <mergeCell ref="C9:C16"/>
    <mergeCell ref="C17:C18"/>
    <mergeCell ref="C19:C27"/>
    <mergeCell ref="L117:M117"/>
    <mergeCell ref="G92:I92"/>
    <mergeCell ref="J92:K92"/>
    <mergeCell ref="L92:M92"/>
    <mergeCell ref="G93:I93"/>
    <mergeCell ref="J93:K93"/>
    <mergeCell ref="L93:M93"/>
    <mergeCell ref="G94:I94"/>
    <mergeCell ref="J94:K94"/>
    <mergeCell ref="L94:M94"/>
    <mergeCell ref="G95:I95"/>
    <mergeCell ref="J95:K95"/>
    <mergeCell ref="L95:M95"/>
    <mergeCell ref="G99:I99"/>
    <mergeCell ref="G97:I97"/>
    <mergeCell ref="G98:I98"/>
    <mergeCell ref="J99:K99"/>
    <mergeCell ref="J98:K98"/>
    <mergeCell ref="J97:K97"/>
    <mergeCell ref="G79:N79"/>
    <mergeCell ref="I84:J84"/>
    <mergeCell ref="I83:J83"/>
    <mergeCell ref="G84:H84"/>
    <mergeCell ref="G83:H83"/>
    <mergeCell ref="G91:I91"/>
    <mergeCell ref="J91:K91"/>
    <mergeCell ref="L91:M91"/>
    <mergeCell ref="G86:G88"/>
    <mergeCell ref="I88:J88"/>
    <mergeCell ref="I87:J87"/>
    <mergeCell ref="I86:J86"/>
  </mergeCells>
  <conditionalFormatting sqref="E6 E70:E1048576">
    <cfRule type="containsText" dxfId="39" priority="17" operator="containsText" text="SI">
      <formula>NOT(ISERROR(SEARCH("SI",E6)))</formula>
    </cfRule>
    <cfRule type="containsText" dxfId="38" priority="18" operator="containsText" text="NO">
      <formula>NOT(ISERROR(SEARCH("NO",E6)))</formula>
    </cfRule>
    <cfRule type="containsText" dxfId="37" priority="19" operator="containsText" text="SI">
      <formula>NOT(ISERROR(SEARCH("SI",E6)))</formula>
    </cfRule>
  </conditionalFormatting>
  <conditionalFormatting sqref="E6 E70:E1048576 E9:E62">
    <cfRule type="containsText" dxfId="36" priority="15" operator="containsText" text="SI">
      <formula>NOT(ISERROR(SEARCH("SI",E6)))</formula>
    </cfRule>
    <cfRule type="containsText" dxfId="35" priority="16" operator="containsText" text="NO">
      <formula>NOT(ISERROR(SEARCH("NO",E6)))</formula>
    </cfRule>
  </conditionalFormatting>
  <conditionalFormatting sqref="E9:E26">
    <cfRule type="containsText" dxfId="34" priority="13" operator="containsText" text="NO">
      <formula>NOT(ISERROR(SEARCH("NO",E9)))</formula>
    </cfRule>
    <cfRule type="containsText" dxfId="33" priority="14" operator="containsText" text="SI">
      <formula>NOT(ISERROR(SEARCH("SI",E9)))</formula>
    </cfRule>
  </conditionalFormatting>
  <conditionalFormatting sqref="E63:E68">
    <cfRule type="containsText" dxfId="32" priority="1" operator="containsText" text="SI">
      <formula>NOT(ISERROR(SEARCH("SI",E63)))</formula>
    </cfRule>
    <cfRule type="containsText" dxfId="31" priority="2" operator="containsText" text="NO">
      <formula>NOT(ISERROR(SEARCH("NO",E63)))</formula>
    </cfRule>
  </conditionalFormatting>
  <printOptions horizontalCentered="1" verticalCentered="1"/>
  <pageMargins left="0.25" right="0.25" top="0.19" bottom="0.12" header="0.3" footer="0.3"/>
  <pageSetup paperSize="9" scale="37" orientation="landscape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48310"/>
  <sheetViews>
    <sheetView showGridLines="0" zoomScale="85" zoomScaleNormal="85" workbookViewId="0">
      <pane xSplit="8" ySplit="4" topLeftCell="I31" activePane="bottomRight" state="frozen"/>
      <selection sqref="A1:XFD1048576"/>
      <selection pane="topRight" sqref="A1:XFD1048576"/>
      <selection pane="bottomLeft" sqref="A1:XFD1048576"/>
      <selection pane="bottomRight" activeCell="I36" sqref="I36"/>
    </sheetView>
  </sheetViews>
  <sheetFormatPr baseColWidth="10" defaultRowHeight="15" x14ac:dyDescent="0.25"/>
  <cols>
    <col min="1" max="1" width="3.5703125" customWidth="1"/>
    <col min="2" max="2" width="3.28515625" style="147" bestFit="1" customWidth="1"/>
    <col min="3" max="3" width="28.7109375" bestFit="1" customWidth="1"/>
    <col min="4" max="4" width="15.5703125" style="7" bestFit="1" customWidth="1"/>
    <col min="5" max="5" width="17.42578125" bestFit="1" customWidth="1"/>
    <col min="6" max="6" width="16.7109375" bestFit="1" customWidth="1"/>
    <col min="7" max="7" width="17.140625" customWidth="1"/>
    <col min="8" max="9" width="17.42578125" bestFit="1" customWidth="1"/>
    <col min="10" max="10" width="17.42578125" customWidth="1"/>
    <col min="11" max="12" width="16.7109375" style="8" bestFit="1" customWidth="1"/>
    <col min="13" max="13" width="12.85546875" style="8" bestFit="1" customWidth="1"/>
    <col min="14" max="14" width="16.7109375" style="8" bestFit="1" customWidth="1"/>
    <col min="15" max="15" width="16.7109375" bestFit="1" customWidth="1"/>
    <col min="16" max="16" width="18.5703125" customWidth="1"/>
    <col min="17" max="17" width="15.85546875" style="1" customWidth="1"/>
  </cols>
  <sheetData>
    <row r="1" spans="1:17" x14ac:dyDescent="0.25">
      <c r="N1"/>
      <c r="P1" s="1"/>
      <c r="Q1"/>
    </row>
    <row r="2" spans="1:17" ht="15.75" thickBot="1" x14ac:dyDescent="0.3">
      <c r="G2" s="7"/>
      <c r="H2" s="7"/>
      <c r="I2" s="7"/>
      <c r="J2" s="7"/>
      <c r="N2"/>
      <c r="P2" s="1"/>
      <c r="Q2"/>
    </row>
    <row r="3" spans="1:17" ht="15.75" thickBot="1" x14ac:dyDescent="0.3">
      <c r="A3" s="2"/>
      <c r="C3" s="642" t="s">
        <v>53</v>
      </c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542"/>
      <c r="Q3"/>
    </row>
    <row r="4" spans="1:17" ht="15.75" thickBot="1" x14ac:dyDescent="0.3">
      <c r="A4" s="2"/>
      <c r="C4" s="209" t="s">
        <v>0</v>
      </c>
      <c r="D4" s="210" t="s">
        <v>65</v>
      </c>
      <c r="E4" s="209" t="s">
        <v>66</v>
      </c>
      <c r="F4" s="209" t="s">
        <v>1</v>
      </c>
      <c r="G4" s="209" t="s">
        <v>27</v>
      </c>
      <c r="H4" s="145" t="s">
        <v>354</v>
      </c>
      <c r="I4" s="145" t="s">
        <v>109</v>
      </c>
      <c r="J4" s="145" t="s">
        <v>399</v>
      </c>
      <c r="K4" s="211" t="s">
        <v>355</v>
      </c>
      <c r="L4" s="152" t="s">
        <v>36</v>
      </c>
      <c r="M4" s="211" t="s">
        <v>67</v>
      </c>
      <c r="N4" s="211" t="s">
        <v>52</v>
      </c>
      <c r="O4" s="211" t="s">
        <v>51</v>
      </c>
      <c r="P4" s="211" t="s">
        <v>50</v>
      </c>
      <c r="Q4"/>
    </row>
    <row r="5" spans="1:17" x14ac:dyDescent="0.25">
      <c r="A5" s="2"/>
      <c r="B5" s="873" t="s">
        <v>5</v>
      </c>
      <c r="C5" s="515" t="str">
        <f>+'VENTAS 2021'!F9</f>
        <v>ROSSI, AUGUSTO</v>
      </c>
      <c r="D5" s="395">
        <f>+'VENTAS 2021'!G9</f>
        <v>44210</v>
      </c>
      <c r="E5" s="394">
        <f>+'VENTAS 2021'!I9</f>
        <v>218</v>
      </c>
      <c r="F5" s="394" t="str">
        <f>+'VENTAS 2021'!K9</f>
        <v>DUO</v>
      </c>
      <c r="G5" s="397">
        <f>+'VENTAS 2021'!L9</f>
        <v>63.37</v>
      </c>
      <c r="H5" s="689">
        <f>+K5/J5</f>
        <v>26942.340764331209</v>
      </c>
      <c r="I5" s="430">
        <f>+H5/G5</f>
        <v>425.15923566878979</v>
      </c>
      <c r="J5" s="430">
        <v>157</v>
      </c>
      <c r="K5" s="398">
        <f>+'VENTAS 2021'!O9</f>
        <v>4229947.5</v>
      </c>
      <c r="L5" s="398">
        <f>+'VENTAS 2021'!P9</f>
        <v>66750</v>
      </c>
      <c r="M5" s="50"/>
      <c r="N5" s="55"/>
      <c r="O5" s="140"/>
      <c r="P5" s="570"/>
      <c r="Q5"/>
    </row>
    <row r="6" spans="1:17" x14ac:dyDescent="0.25">
      <c r="A6" s="2"/>
      <c r="B6" s="874"/>
      <c r="C6" s="515" t="str">
        <f>+'VENTAS 2021'!F10</f>
        <v>ROSSI, AUGUSTO</v>
      </c>
      <c r="D6" s="395">
        <f>+'VENTAS 2021'!G10</f>
        <v>44210</v>
      </c>
      <c r="E6" s="394">
        <f>+'VENTAS 2021'!I10</f>
        <v>219</v>
      </c>
      <c r="F6" s="394" t="str">
        <f>+'VENTAS 2021'!K10</f>
        <v>DUO</v>
      </c>
      <c r="G6" s="397">
        <f>+'VENTAS 2021'!L10</f>
        <v>63.37</v>
      </c>
      <c r="H6" s="689">
        <f t="shared" ref="H6:H12" si="0">+K6/J6</f>
        <v>26942.340764331209</v>
      </c>
      <c r="I6" s="430">
        <f t="shared" ref="I6:I12" si="1">+H6/G6</f>
        <v>425.15923566878979</v>
      </c>
      <c r="J6" s="430">
        <v>157</v>
      </c>
      <c r="K6" s="398">
        <f>+'VENTAS 2021'!O10</f>
        <v>4229947.5</v>
      </c>
      <c r="L6" s="398">
        <f>+'VENTAS 2021'!P10</f>
        <v>66750</v>
      </c>
      <c r="M6" s="50"/>
      <c r="N6" s="55"/>
      <c r="O6" s="140"/>
      <c r="P6" s="570"/>
      <c r="Q6"/>
    </row>
    <row r="7" spans="1:17" x14ac:dyDescent="0.25">
      <c r="A7" s="2"/>
      <c r="B7" s="874"/>
      <c r="C7" s="515" t="str">
        <f>+'VENTAS 2021'!F11</f>
        <v>ROSSI, AUGUSTO</v>
      </c>
      <c r="D7" s="395">
        <f>+'VENTAS 2021'!G11</f>
        <v>44210</v>
      </c>
      <c r="E7" s="394">
        <f>+'VENTAS 2021'!I11</f>
        <v>220</v>
      </c>
      <c r="F7" s="394" t="str">
        <f>+'VENTAS 2021'!K11</f>
        <v>DUO</v>
      </c>
      <c r="G7" s="397">
        <f>+'VENTAS 2021'!L11</f>
        <v>69.75</v>
      </c>
      <c r="H7" s="689">
        <f t="shared" si="0"/>
        <v>29654.856687898089</v>
      </c>
      <c r="I7" s="430">
        <f t="shared" si="1"/>
        <v>425.15923566878979</v>
      </c>
      <c r="J7" s="430">
        <v>157</v>
      </c>
      <c r="K7" s="398">
        <f>+'VENTAS 2021'!O11</f>
        <v>4655812.5</v>
      </c>
      <c r="L7" s="398">
        <f>+'VENTAS 2021'!P11</f>
        <v>66750</v>
      </c>
      <c r="M7" s="50"/>
      <c r="N7" s="55"/>
      <c r="O7" s="140"/>
      <c r="P7" s="570"/>
      <c r="Q7"/>
    </row>
    <row r="8" spans="1:17" x14ac:dyDescent="0.25">
      <c r="A8" s="2"/>
      <c r="B8" s="874"/>
      <c r="C8" s="515" t="str">
        <f>+'VENTAS 2021'!F12</f>
        <v>ROSSI, AUGUSTO</v>
      </c>
      <c r="D8" s="395">
        <f>+'VENTAS 2021'!G12</f>
        <v>44210</v>
      </c>
      <c r="E8" s="394">
        <f>+'VENTAS 2021'!I12</f>
        <v>221</v>
      </c>
      <c r="F8" s="394" t="str">
        <f>+'VENTAS 2021'!K12</f>
        <v>DUO</v>
      </c>
      <c r="G8" s="397">
        <f>+'VENTAS 2021'!L12</f>
        <v>35.29</v>
      </c>
      <c r="H8" s="689">
        <f t="shared" si="0"/>
        <v>15003.869426751593</v>
      </c>
      <c r="I8" s="430">
        <f t="shared" si="1"/>
        <v>425.15923566878985</v>
      </c>
      <c r="J8" s="430">
        <v>157</v>
      </c>
      <c r="K8" s="398">
        <f>+'VENTAS 2021'!O12</f>
        <v>2355607.5</v>
      </c>
      <c r="L8" s="398">
        <f>+'VENTAS 2021'!P12</f>
        <v>66750</v>
      </c>
      <c r="M8" s="50"/>
      <c r="N8" s="55"/>
      <c r="O8" s="140"/>
      <c r="P8" s="570"/>
      <c r="Q8"/>
    </row>
    <row r="9" spans="1:17" x14ac:dyDescent="0.25">
      <c r="A9" s="2"/>
      <c r="B9" s="874"/>
      <c r="C9" s="515" t="str">
        <f>+'VENTAS 2021'!F13</f>
        <v>ROSSI, AUGUSTO</v>
      </c>
      <c r="D9" s="395">
        <f>+'VENTAS 2021'!G13</f>
        <v>44210</v>
      </c>
      <c r="E9" s="394">
        <f>+'VENTAS 2021'!I13</f>
        <v>222</v>
      </c>
      <c r="F9" s="394" t="str">
        <f>+'VENTAS 2021'!K13</f>
        <v>DUO</v>
      </c>
      <c r="G9" s="397">
        <f>+'VENTAS 2021'!L13</f>
        <v>46.1</v>
      </c>
      <c r="H9" s="689">
        <f t="shared" si="0"/>
        <v>19599.840764331209</v>
      </c>
      <c r="I9" s="430">
        <f t="shared" si="1"/>
        <v>425.15923566878979</v>
      </c>
      <c r="J9" s="430">
        <v>157</v>
      </c>
      <c r="K9" s="398">
        <f>+'VENTAS 2021'!O13</f>
        <v>3077175</v>
      </c>
      <c r="L9" s="398">
        <f>+'VENTAS 2021'!P13</f>
        <v>66750</v>
      </c>
      <c r="M9" s="50"/>
      <c r="N9" s="55"/>
      <c r="O9" s="140"/>
      <c r="P9" s="570"/>
      <c r="Q9"/>
    </row>
    <row r="10" spans="1:17" x14ac:dyDescent="0.25">
      <c r="A10" s="2"/>
      <c r="B10" s="874"/>
      <c r="C10" s="515" t="str">
        <f>+'VENTAS 2021'!F14</f>
        <v>ROSSI, AUGUSTO</v>
      </c>
      <c r="D10" s="395">
        <f>+'VENTAS 2021'!G14</f>
        <v>44210</v>
      </c>
      <c r="E10" s="394">
        <f>+'VENTAS 2021'!I14</f>
        <v>223</v>
      </c>
      <c r="F10" s="394" t="str">
        <f>+'VENTAS 2021'!K14</f>
        <v>DUO</v>
      </c>
      <c r="G10" s="397">
        <f>+'VENTAS 2021'!L14</f>
        <v>46.02</v>
      </c>
      <c r="H10" s="689">
        <f t="shared" si="0"/>
        <v>19565.828025477706</v>
      </c>
      <c r="I10" s="430">
        <f t="shared" si="1"/>
        <v>425.15923566878973</v>
      </c>
      <c r="J10" s="430">
        <v>157</v>
      </c>
      <c r="K10" s="398">
        <f>+'VENTAS 2021'!O14</f>
        <v>3071835</v>
      </c>
      <c r="L10" s="398">
        <f>+'VENTAS 2021'!P14</f>
        <v>66750</v>
      </c>
      <c r="M10" s="50"/>
      <c r="N10" s="55" t="s">
        <v>38</v>
      </c>
      <c r="O10" s="140"/>
      <c r="P10" s="570"/>
      <c r="Q10"/>
    </row>
    <row r="11" spans="1:17" x14ac:dyDescent="0.25">
      <c r="A11" s="2"/>
      <c r="B11" s="874"/>
      <c r="C11" s="515" t="str">
        <f>+'VENTAS 2021'!F15</f>
        <v>ROSSI, AUGUSTO</v>
      </c>
      <c r="D11" s="395">
        <f>+'VENTAS 2021'!G15</f>
        <v>44210</v>
      </c>
      <c r="E11" s="394">
        <f>+'VENTAS 2021'!I15</f>
        <v>224</v>
      </c>
      <c r="F11" s="394" t="str">
        <f>+'VENTAS 2021'!K15</f>
        <v>DUO</v>
      </c>
      <c r="G11" s="397">
        <f>+'VENTAS 2021'!L15</f>
        <v>44.58</v>
      </c>
      <c r="H11" s="689">
        <f t="shared" si="0"/>
        <v>18953.598726114651</v>
      </c>
      <c r="I11" s="430">
        <f t="shared" si="1"/>
        <v>425.15923566878985</v>
      </c>
      <c r="J11" s="430">
        <v>157</v>
      </c>
      <c r="K11" s="398">
        <f>+'VENTAS 2021'!O15</f>
        <v>2975715</v>
      </c>
      <c r="L11" s="398">
        <f>+'VENTAS 2021'!P15</f>
        <v>66750</v>
      </c>
      <c r="M11" s="50"/>
      <c r="N11" s="55"/>
      <c r="O11" s="140"/>
      <c r="P11" s="570"/>
      <c r="Q11"/>
    </row>
    <row r="12" spans="1:17" ht="15.75" thickBot="1" x14ac:dyDescent="0.3">
      <c r="A12" s="2"/>
      <c r="B12" s="874"/>
      <c r="C12" s="748" t="str">
        <f>+'VENTAS 2021'!F16</f>
        <v>ROSSI, AUGUSTO</v>
      </c>
      <c r="D12" s="749">
        <f>+'VENTAS 2021'!G16</f>
        <v>44210</v>
      </c>
      <c r="E12" s="750">
        <f>+'VENTAS 2021'!I16</f>
        <v>225</v>
      </c>
      <c r="F12" s="750" t="str">
        <f>+'VENTAS 2021'!K16</f>
        <v>DUO</v>
      </c>
      <c r="G12" s="751">
        <f>+'VENTAS 2021'!L16</f>
        <v>44.75</v>
      </c>
      <c r="H12" s="752">
        <f t="shared" si="0"/>
        <v>19025.875796178345</v>
      </c>
      <c r="I12" s="753">
        <f t="shared" si="1"/>
        <v>425.15923566878985</v>
      </c>
      <c r="J12" s="753">
        <v>157</v>
      </c>
      <c r="K12" s="754">
        <f>+'VENTAS 2021'!O16</f>
        <v>2987062.5</v>
      </c>
      <c r="L12" s="754">
        <f>+'VENTAS 2021'!P16</f>
        <v>66750</v>
      </c>
      <c r="M12" s="146" t="s">
        <v>49</v>
      </c>
      <c r="N12" s="51">
        <f>SUM(K5:K12)</f>
        <v>27583102.5</v>
      </c>
      <c r="O12" s="149">
        <v>8245</v>
      </c>
      <c r="P12" s="571">
        <f>+N12/O12</f>
        <v>3345.4338993329288</v>
      </c>
      <c r="Q12"/>
    </row>
    <row r="13" spans="1:17" ht="15" customHeight="1" x14ac:dyDescent="0.25">
      <c r="A13" s="2"/>
      <c r="B13" s="876" t="s">
        <v>10</v>
      </c>
      <c r="C13" s="755" t="str">
        <f>+'VENTAS 2021'!F17</f>
        <v xml:space="preserve">FELDMAN GABRIELA </v>
      </c>
      <c r="D13" s="756">
        <f>+'VENTAS 2021'!G17</f>
        <v>44245</v>
      </c>
      <c r="E13" s="757">
        <f>+'VENTAS 2021'!I17</f>
        <v>61</v>
      </c>
      <c r="F13" s="757" t="str">
        <f>+'VENTAS 2021'!K17</f>
        <v>DUO</v>
      </c>
      <c r="G13" s="758">
        <f>+'VENTAS 2021'!L17</f>
        <v>35.29</v>
      </c>
      <c r="H13" s="759">
        <f t="shared" ref="H13:H14" si="2">+K13/J13</f>
        <v>24930.061224489797</v>
      </c>
      <c r="I13" s="760">
        <f t="shared" ref="I13:I14" si="3">+H13/G13</f>
        <v>706.43415201161224</v>
      </c>
      <c r="J13" s="760">
        <v>147</v>
      </c>
      <c r="K13" s="761">
        <f>+'VENTAS 2021'!O17</f>
        <v>3664719</v>
      </c>
      <c r="L13" s="762">
        <f>+'VENTAS 2021'!P17</f>
        <v>103845.820345707</v>
      </c>
      <c r="Q13"/>
    </row>
    <row r="14" spans="1:17" ht="15.75" thickBot="1" x14ac:dyDescent="0.3">
      <c r="A14" s="2"/>
      <c r="B14" s="877"/>
      <c r="C14" s="765" t="str">
        <f>+'VENTAS 2021'!F18</f>
        <v xml:space="preserve">FELDMAN GABRIELA </v>
      </c>
      <c r="D14" s="766">
        <f>+'VENTAS 2021'!G18</f>
        <v>44245</v>
      </c>
      <c r="E14" s="767">
        <f>+'VENTAS 2021'!I18</f>
        <v>71</v>
      </c>
      <c r="F14" s="767" t="str">
        <f>+'VENTAS 2021'!K18</f>
        <v>DUO</v>
      </c>
      <c r="G14" s="768">
        <f>+'VENTAS 2021'!L18</f>
        <v>35.29</v>
      </c>
      <c r="H14" s="769">
        <f t="shared" si="2"/>
        <v>24930.061224489797</v>
      </c>
      <c r="I14" s="770">
        <f t="shared" si="3"/>
        <v>706.43415201161224</v>
      </c>
      <c r="J14" s="770">
        <v>147</v>
      </c>
      <c r="K14" s="771">
        <f>+'VENTAS 2021'!O18</f>
        <v>3664719</v>
      </c>
      <c r="L14" s="772">
        <f>+'VENTAS 2021'!P18</f>
        <v>103845.820345707</v>
      </c>
      <c r="M14" s="146" t="s">
        <v>48</v>
      </c>
      <c r="N14" s="51">
        <f>SUM(K13:K14)</f>
        <v>7329438</v>
      </c>
      <c r="O14" s="149">
        <v>8805</v>
      </c>
      <c r="P14" s="571">
        <f>+N14/O14</f>
        <v>832.41771720613292</v>
      </c>
      <c r="Q14"/>
    </row>
    <row r="15" spans="1:17" ht="15" customHeight="1" x14ac:dyDescent="0.25">
      <c r="A15" s="2"/>
      <c r="B15" s="873" t="s">
        <v>12</v>
      </c>
      <c r="C15" s="755" t="str">
        <f>+'VENTAS 2021'!F19</f>
        <v xml:space="preserve">CANGEMI, SERGIO </v>
      </c>
      <c r="D15" s="756">
        <f>+'VENTAS 2021'!G19</f>
        <v>44306</v>
      </c>
      <c r="E15" s="757" t="str">
        <f>+'VENTAS 2021'!I19</f>
        <v>16 - COCHERA 16</v>
      </c>
      <c r="F15" s="757" t="str">
        <f>+'VENTAS 2021'!K19</f>
        <v>ZOE</v>
      </c>
      <c r="G15" s="758">
        <f>+'VENTAS 2021'!L19</f>
        <v>19.43</v>
      </c>
      <c r="H15" s="759">
        <f t="shared" ref="H15:H17" si="4">+K15/J15</f>
        <v>12000</v>
      </c>
      <c r="I15" s="760">
        <f t="shared" ref="I15:I17" si="5">+H15/G15</f>
        <v>617.60164693772515</v>
      </c>
      <c r="J15" s="760">
        <v>155</v>
      </c>
      <c r="K15" s="761">
        <f>+'VENTAS 2021'!O19</f>
        <v>1860000</v>
      </c>
      <c r="L15" s="762">
        <f>+'VENTAS 2021'!P19</f>
        <v>95728.255275347401</v>
      </c>
      <c r="Q15"/>
    </row>
    <row r="16" spans="1:17" x14ac:dyDescent="0.25">
      <c r="A16" s="2"/>
      <c r="B16" s="874"/>
      <c r="C16" s="516" t="str">
        <f>+'VENTAS 2021'!F20</f>
        <v>LUNA, LORENA</v>
      </c>
      <c r="D16" s="402">
        <f>+'VENTAS 2021'!G20</f>
        <v>44315</v>
      </c>
      <c r="E16" s="401" t="str">
        <f>+'VENTAS 2021'!I20</f>
        <v>18 - 2ºE</v>
      </c>
      <c r="F16" s="401" t="str">
        <f>+'VENTAS 2021'!K20</f>
        <v>BLUE</v>
      </c>
      <c r="G16" s="403">
        <f>+'VENTAS 2021'!L20</f>
        <v>41.43</v>
      </c>
      <c r="H16" s="690">
        <f t="shared" si="4"/>
        <v>25974.921630094042</v>
      </c>
      <c r="I16" s="431">
        <f t="shared" si="5"/>
        <v>626.95924764890276</v>
      </c>
      <c r="J16" s="431">
        <v>159.5</v>
      </c>
      <c r="K16" s="404">
        <f>+'VENTAS 2021'!O20</f>
        <v>4143000</v>
      </c>
      <c r="L16" s="773">
        <f>+'VENTAS 2021'!P20</f>
        <v>100000</v>
      </c>
      <c r="Q16"/>
    </row>
    <row r="17" spans="1:17" x14ac:dyDescent="0.25">
      <c r="A17" s="2"/>
      <c r="B17" s="874"/>
      <c r="C17" s="516" t="str">
        <f>+'VENTAS 2021'!F21</f>
        <v>ANDJEL, DIEGO</v>
      </c>
      <c r="D17" s="402">
        <f>+'VENTAS 2021'!G21</f>
        <v>44314</v>
      </c>
      <c r="E17" s="401">
        <f>+'VENTAS 2021'!I21</f>
        <v>9</v>
      </c>
      <c r="F17" s="401" t="str">
        <f>+'VENTAS 2021'!K21</f>
        <v xml:space="preserve">ISAURA </v>
      </c>
      <c r="G17" s="403">
        <f>+'VENTAS 2021'!L21</f>
        <v>43.79</v>
      </c>
      <c r="H17" s="690">
        <f t="shared" si="4"/>
        <v>27110</v>
      </c>
      <c r="I17" s="431">
        <f t="shared" si="5"/>
        <v>619.091116693309</v>
      </c>
      <c r="J17" s="431">
        <v>155</v>
      </c>
      <c r="K17" s="404">
        <f>+'VENTAS 2021'!O21</f>
        <v>4202050</v>
      </c>
      <c r="L17" s="773">
        <f>+'VENTAS 2021'!P21</f>
        <v>95959.123087462896</v>
      </c>
      <c r="Q17"/>
    </row>
    <row r="18" spans="1:17" x14ac:dyDescent="0.25">
      <c r="A18" s="2"/>
      <c r="B18" s="874"/>
      <c r="C18" s="516" t="str">
        <f>+'VENTAS 2021'!F22</f>
        <v>ANDJEL, DIEGO</v>
      </c>
      <c r="D18" s="402">
        <f>+'VENTAS 2021'!G22</f>
        <v>44405</v>
      </c>
      <c r="E18" s="401">
        <f>+'VENTAS 2021'!I22</f>
        <v>12</v>
      </c>
      <c r="F18" s="401" t="str">
        <f>+'VENTAS 2021'!K22</f>
        <v xml:space="preserve">ISAURA </v>
      </c>
      <c r="G18" s="403">
        <f>+'VENTAS 2021'!L22</f>
        <v>58.78</v>
      </c>
      <c r="H18" s="690">
        <f t="shared" ref="H18:H23" si="6">+K18/J18</f>
        <v>36390</v>
      </c>
      <c r="I18" s="431">
        <f t="shared" ref="I18:I23" si="7">+H18/G18</f>
        <v>619.08812521265736</v>
      </c>
      <c r="J18" s="431">
        <v>155</v>
      </c>
      <c r="K18" s="404">
        <f>+'VENTAS 2021'!O22</f>
        <v>5640450</v>
      </c>
      <c r="L18" s="773">
        <f>+'VENTAS 2021'!P22</f>
        <v>95958.659407961895</v>
      </c>
      <c r="Q18"/>
    </row>
    <row r="19" spans="1:17" x14ac:dyDescent="0.25">
      <c r="A19" s="2"/>
      <c r="B19" s="874"/>
      <c r="C19" s="516" t="str">
        <f>+'VENTAS 2021'!F23</f>
        <v>JORRAT, HUGO</v>
      </c>
      <c r="D19" s="402">
        <f>+'VENTAS 2021'!G23</f>
        <v>44315</v>
      </c>
      <c r="E19" s="401" t="str">
        <f>+'VENTAS 2021'!I23</f>
        <v>24 - 4ºA</v>
      </c>
      <c r="F19" s="401" t="str">
        <f>+'VENTAS 2021'!K23</f>
        <v>BLUE</v>
      </c>
      <c r="G19" s="403">
        <f>+'VENTAS 2021'!L23</f>
        <v>56.71</v>
      </c>
      <c r="H19" s="690">
        <f t="shared" si="6"/>
        <v>45602.605863192184</v>
      </c>
      <c r="I19" s="431">
        <f t="shared" si="7"/>
        <v>804.13693992580113</v>
      </c>
      <c r="J19" s="431">
        <v>153.5</v>
      </c>
      <c r="K19" s="404">
        <f>+'VENTAS 2021'!O23</f>
        <v>7000000</v>
      </c>
      <c r="L19" s="773">
        <f>+'VENTAS 2021'!P23</f>
        <v>123435.02027861048</v>
      </c>
      <c r="Q19"/>
    </row>
    <row r="20" spans="1:17" x14ac:dyDescent="0.25">
      <c r="A20" s="2"/>
      <c r="B20" s="874"/>
      <c r="C20" s="516" t="str">
        <f>+'VENTAS 2021'!F24</f>
        <v>JORRAT, HUGO</v>
      </c>
      <c r="D20" s="402">
        <f>+'VENTAS 2021'!G24</f>
        <v>44315</v>
      </c>
      <c r="E20" s="401" t="str">
        <f>+'VENTAS 2021'!I24</f>
        <v>51 - 9ºA</v>
      </c>
      <c r="F20" s="401" t="str">
        <f>+'VENTAS 2021'!K24</f>
        <v>BLUE</v>
      </c>
      <c r="G20" s="403">
        <f>+'VENTAS 2021'!L24</f>
        <v>56.71</v>
      </c>
      <c r="H20" s="690">
        <f t="shared" si="6"/>
        <v>45602.605863192184</v>
      </c>
      <c r="I20" s="431">
        <f t="shared" si="7"/>
        <v>804.13693992580113</v>
      </c>
      <c r="J20" s="431">
        <v>153.5</v>
      </c>
      <c r="K20" s="404">
        <f>+'VENTAS 2021'!O24</f>
        <v>7000000</v>
      </c>
      <c r="L20" s="773">
        <f>+'VENTAS 2021'!P24</f>
        <v>123435.02027861048</v>
      </c>
      <c r="Q20"/>
    </row>
    <row r="21" spans="1:17" x14ac:dyDescent="0.25">
      <c r="A21" s="2"/>
      <c r="B21" s="874"/>
      <c r="C21" s="516" t="str">
        <f>+'VENTAS 2021'!F25</f>
        <v>BANOTTI</v>
      </c>
      <c r="D21" s="402">
        <f>+'VENTAS 2021'!G25</f>
        <v>44316</v>
      </c>
      <c r="E21" s="401" t="str">
        <f>+'VENTAS 2021'!I25</f>
        <v>116 - 10ºF</v>
      </c>
      <c r="F21" s="401" t="str">
        <f>+'VENTAS 2021'!K25</f>
        <v>DUO</v>
      </c>
      <c r="G21" s="403">
        <f>+'VENTAS 2021'!L25</f>
        <v>41.56</v>
      </c>
      <c r="H21" s="690">
        <f t="shared" si="6"/>
        <v>26187</v>
      </c>
      <c r="I21" s="431">
        <f t="shared" si="7"/>
        <v>630.10105871029828</v>
      </c>
      <c r="J21" s="431">
        <v>153.5</v>
      </c>
      <c r="K21" s="404">
        <f>+'VENTAS 2021'!O25</f>
        <v>4019704.5</v>
      </c>
      <c r="L21" s="773">
        <f>+'VENTAS 2021'!P25</f>
        <v>96720.512512030793</v>
      </c>
      <c r="Q21"/>
    </row>
    <row r="22" spans="1:17" x14ac:dyDescent="0.25">
      <c r="A22" s="2"/>
      <c r="B22" s="874"/>
      <c r="C22" s="516" t="str">
        <f>+'VENTAS 2021'!F26</f>
        <v>BANOTTI</v>
      </c>
      <c r="D22" s="402">
        <f>+'VENTAS 2021'!G26</f>
        <v>44316</v>
      </c>
      <c r="E22" s="401" t="str">
        <f>+'VENTAS 2021'!I26</f>
        <v>117 - 10ºE</v>
      </c>
      <c r="F22" s="401" t="str">
        <f>+'VENTAS 2021'!K26</f>
        <v>DUO</v>
      </c>
      <c r="G22" s="403">
        <f>+'VENTAS 2021'!L26</f>
        <v>33.68</v>
      </c>
      <c r="H22" s="690">
        <f t="shared" si="6"/>
        <v>21221</v>
      </c>
      <c r="I22" s="431">
        <f t="shared" si="7"/>
        <v>630.07719714964367</v>
      </c>
      <c r="J22" s="431">
        <v>153.5</v>
      </c>
      <c r="K22" s="404">
        <f>+'VENTAS 2021'!O26</f>
        <v>3257423.5</v>
      </c>
      <c r="L22" s="773">
        <f>+'VENTAS 2021'!P26</f>
        <v>96716.849762470316</v>
      </c>
      <c r="Q22"/>
    </row>
    <row r="23" spans="1:17" ht="15.75" thickBot="1" x14ac:dyDescent="0.3">
      <c r="A23" s="2"/>
      <c r="B23" s="874"/>
      <c r="C23" s="765" t="str">
        <f>+'VENTAS 2021'!F27</f>
        <v>BANOTTI</v>
      </c>
      <c r="D23" s="766">
        <f>+'VENTAS 2021'!G27</f>
        <v>44316</v>
      </c>
      <c r="E23" s="767" t="str">
        <f>+'VENTAS 2021'!I27</f>
        <v>33 - 5ºA</v>
      </c>
      <c r="F23" s="767" t="str">
        <f>+'VENTAS 2021'!K27</f>
        <v xml:space="preserve">ISAURA </v>
      </c>
      <c r="G23" s="768">
        <f>+'VENTAS 2021'!L27</f>
        <v>43.79</v>
      </c>
      <c r="H23" s="769">
        <f t="shared" si="6"/>
        <v>27592</v>
      </c>
      <c r="I23" s="770">
        <f t="shared" si="7"/>
        <v>630.09819593514499</v>
      </c>
      <c r="J23" s="770">
        <v>153.5</v>
      </c>
      <c r="K23" s="771">
        <f>+'VENTAS 2021'!O27</f>
        <v>4235372</v>
      </c>
      <c r="L23" s="772">
        <f>+'VENTAS 2021'!P27</f>
        <v>96720.073076044762</v>
      </c>
      <c r="M23" s="146" t="s">
        <v>12</v>
      </c>
      <c r="N23" s="51">
        <f>SUM(K15:K23)</f>
        <v>41358000</v>
      </c>
      <c r="O23" s="149">
        <v>10045</v>
      </c>
      <c r="P23" s="571">
        <f>+N23/O23</f>
        <v>4117.2722747635644</v>
      </c>
      <c r="Q23"/>
    </row>
    <row r="24" spans="1:17" ht="30.75" customHeight="1" x14ac:dyDescent="0.25">
      <c r="A24" s="2"/>
      <c r="B24" s="878" t="s">
        <v>24</v>
      </c>
      <c r="C24" s="23" t="str">
        <f>+'VENTAS 2021'!F35</f>
        <v>PEREZ</v>
      </c>
      <c r="D24" s="45">
        <f>+'VENTAS 2021'!G35</f>
        <v>44350</v>
      </c>
      <c r="E24" s="23" t="str">
        <f>+'VENTAS 2021'!I35</f>
        <v>82 - 7ºF</v>
      </c>
      <c r="F24" s="23" t="str">
        <f>+'VENTAS 2021'!K35</f>
        <v>ZOE</v>
      </c>
      <c r="G24" s="24">
        <f>+'VENTAS 2021'!L35</f>
        <v>47.2</v>
      </c>
      <c r="H24" s="776">
        <f t="shared" ref="H24:H36" si="8">+K24/J24</f>
        <v>33500</v>
      </c>
      <c r="I24" s="777">
        <f t="shared" ref="I24:I36" si="9">+H24/G24</f>
        <v>709.74576271186436</v>
      </c>
      <c r="J24" s="777">
        <v>154</v>
      </c>
      <c r="K24" s="25">
        <f>+'VENTAS 2021'!O35</f>
        <v>5159000</v>
      </c>
      <c r="L24" s="778">
        <f>+'VENTAS 2021'!P35</f>
        <v>109300.84745762711</v>
      </c>
      <c r="Q24"/>
    </row>
    <row r="25" spans="1:17" x14ac:dyDescent="0.25">
      <c r="A25" s="2"/>
      <c r="B25" s="879"/>
      <c r="C25" s="155" t="str">
        <f>+'VENTAS 2021'!F28</f>
        <v xml:space="preserve">EMI </v>
      </c>
      <c r="D25" s="156">
        <f>+'VENTAS 2021'!G28</f>
        <v>44356</v>
      </c>
      <c r="E25" s="155" t="str">
        <f>+'VENTAS 2021'!I28</f>
        <v>43- COCH 39</v>
      </c>
      <c r="F25" s="155" t="str">
        <f>+'VENTAS 2021'!K28</f>
        <v>DUO</v>
      </c>
      <c r="G25" s="157">
        <f>+'VENTAS 2021'!L28</f>
        <v>22.015137457961892</v>
      </c>
      <c r="H25" s="779">
        <f t="shared" si="8"/>
        <v>11574.692965441847</v>
      </c>
      <c r="I25" s="780">
        <f t="shared" si="9"/>
        <v>525.76064935064926</v>
      </c>
      <c r="J25" s="780">
        <v>154</v>
      </c>
      <c r="K25" s="158">
        <f>+'VENTAS 2021'!O28</f>
        <v>1782502.7166780445</v>
      </c>
      <c r="L25" s="781">
        <f>+'VENTAS 2021'!P28</f>
        <v>80967.14</v>
      </c>
      <c r="Q25"/>
    </row>
    <row r="26" spans="1:17" x14ac:dyDescent="0.25">
      <c r="A26" s="2"/>
      <c r="B26" s="879"/>
      <c r="C26" s="155" t="str">
        <f>+'VENTAS 2021'!F29</f>
        <v xml:space="preserve">EMI </v>
      </c>
      <c r="D26" s="156">
        <f>+'VENTAS 2021'!G29</f>
        <v>44356</v>
      </c>
      <c r="E26" s="155" t="str">
        <f>+'VENTAS 2021'!I29</f>
        <v>44 - COCH 40</v>
      </c>
      <c r="F26" s="155" t="str">
        <f>+'VENTAS 2021'!K29</f>
        <v>DUO</v>
      </c>
      <c r="G26" s="157">
        <f>+'VENTAS 2021'!L29</f>
        <v>22.015137457961892</v>
      </c>
      <c r="H26" s="779">
        <f t="shared" si="8"/>
        <v>11574.692965441847</v>
      </c>
      <c r="I26" s="780">
        <f t="shared" si="9"/>
        <v>525.76064935064926</v>
      </c>
      <c r="J26" s="780">
        <v>154</v>
      </c>
      <c r="K26" s="158">
        <f>+'VENTAS 2021'!O29</f>
        <v>1782502.7166780445</v>
      </c>
      <c r="L26" s="781">
        <f>+'VENTAS 2021'!P29</f>
        <v>80967.14</v>
      </c>
      <c r="M26"/>
      <c r="N26"/>
      <c r="Q26"/>
    </row>
    <row r="27" spans="1:17" x14ac:dyDescent="0.25">
      <c r="A27" s="2"/>
      <c r="B27" s="879"/>
      <c r="C27" s="155" t="str">
        <f>+'VENTAS 2021'!F30</f>
        <v xml:space="preserve">EMI </v>
      </c>
      <c r="D27" s="156">
        <f>+'VENTAS 2021'!G30</f>
        <v>44356</v>
      </c>
      <c r="E27" s="155" t="str">
        <f>+'VENTAS 2021'!I30</f>
        <v>52 - 4ºJ</v>
      </c>
      <c r="F27" s="155" t="str">
        <f>+'VENTAS 2021'!K30</f>
        <v>DUO</v>
      </c>
      <c r="G27" s="157">
        <f>+'VENTAS 2021'!L30</f>
        <v>65.078243090401983</v>
      </c>
      <c r="H27" s="779">
        <f t="shared" si="8"/>
        <v>41857.045520184452</v>
      </c>
      <c r="I27" s="780">
        <f t="shared" si="9"/>
        <v>643.18032467532464</v>
      </c>
      <c r="J27" s="780">
        <v>154</v>
      </c>
      <c r="K27" s="158">
        <f>+'VENTAS 2021'!O30</f>
        <v>6445985.0101084057</v>
      </c>
      <c r="L27" s="781">
        <f>+'VENTAS 2021'!P30</f>
        <v>99049.77</v>
      </c>
      <c r="M27"/>
      <c r="N27"/>
      <c r="Q27"/>
    </row>
    <row r="28" spans="1:17" x14ac:dyDescent="0.25">
      <c r="A28" s="2"/>
      <c r="B28" s="879"/>
      <c r="C28" s="155" t="str">
        <f>+'VENTAS 2021'!F31</f>
        <v xml:space="preserve">EMI </v>
      </c>
      <c r="D28" s="156">
        <f>+'VENTAS 2021'!G31</f>
        <v>44356</v>
      </c>
      <c r="E28" s="155" t="str">
        <f>+'VENTAS 2021'!I31</f>
        <v>60 - 4ºB</v>
      </c>
      <c r="F28" s="155" t="str">
        <f>+'VENTAS 2021'!K31</f>
        <v>DUO</v>
      </c>
      <c r="G28" s="157">
        <f>+'VENTAS 2021'!L31</f>
        <v>62.005000000000003</v>
      </c>
      <c r="H28" s="779">
        <f t="shared" si="8"/>
        <v>39880.39603149351</v>
      </c>
      <c r="I28" s="780">
        <f t="shared" si="9"/>
        <v>643.18032467532475</v>
      </c>
      <c r="J28" s="780">
        <v>154</v>
      </c>
      <c r="K28" s="158">
        <f>+'VENTAS 2021'!O31</f>
        <v>6141580.9888500003</v>
      </c>
      <c r="L28" s="781">
        <f>+'VENTAS 2021'!P31</f>
        <v>99049.77</v>
      </c>
      <c r="Q28"/>
    </row>
    <row r="29" spans="1:17" ht="15" customHeight="1" x14ac:dyDescent="0.25">
      <c r="A29" s="2"/>
      <c r="B29" s="879"/>
      <c r="C29" s="155" t="str">
        <f>+'VENTAS 2021'!F32</f>
        <v xml:space="preserve">EMI </v>
      </c>
      <c r="D29" s="156">
        <f>+'VENTAS 2021'!G32</f>
        <v>44356</v>
      </c>
      <c r="E29" s="155" t="str">
        <f>+'VENTAS 2021'!I32</f>
        <v>62 - 5ºJ</v>
      </c>
      <c r="F29" s="155" t="str">
        <f>+'VENTAS 2021'!K32</f>
        <v>DUO</v>
      </c>
      <c r="G29" s="157">
        <f>+'VENTAS 2021'!L32</f>
        <v>65.078243090401983</v>
      </c>
      <c r="H29" s="779">
        <f t="shared" si="8"/>
        <v>41857.045520184452</v>
      </c>
      <c r="I29" s="780">
        <f t="shared" si="9"/>
        <v>643.18032467532464</v>
      </c>
      <c r="J29" s="780">
        <v>154</v>
      </c>
      <c r="K29" s="158">
        <f>+'VENTAS 2021'!O32</f>
        <v>6445985.0101084057</v>
      </c>
      <c r="L29" s="781">
        <f>+'VENTAS 2021'!P32</f>
        <v>99049.77</v>
      </c>
      <c r="M29" s="50"/>
      <c r="N29" s="218"/>
      <c r="O29" s="218"/>
      <c r="P29" s="573"/>
      <c r="Q29"/>
    </row>
    <row r="30" spans="1:17" x14ac:dyDescent="0.25">
      <c r="A30" s="2"/>
      <c r="B30" s="879"/>
      <c r="C30" s="155" t="str">
        <f>+'VENTAS 2021'!F33</f>
        <v xml:space="preserve">EMI </v>
      </c>
      <c r="D30" s="156">
        <f>+'VENTAS 2021'!G33</f>
        <v>44356</v>
      </c>
      <c r="E30" s="155" t="str">
        <f>+'VENTAS 2021'!I33</f>
        <v>70 - 5ºB</v>
      </c>
      <c r="F30" s="155" t="str">
        <f>+'VENTAS 2021'!K33</f>
        <v>DUO</v>
      </c>
      <c r="G30" s="157">
        <f>+'VENTAS 2021'!L33</f>
        <v>62.005000000000003</v>
      </c>
      <c r="H30" s="779">
        <f t="shared" si="8"/>
        <v>39880.39603149351</v>
      </c>
      <c r="I30" s="780">
        <f t="shared" si="9"/>
        <v>643.18032467532475</v>
      </c>
      <c r="J30" s="780">
        <v>154</v>
      </c>
      <c r="K30" s="158">
        <f>+'VENTAS 2021'!O33</f>
        <v>6141580.9888500003</v>
      </c>
      <c r="L30" s="781">
        <f>+'VENTAS 2021'!P33</f>
        <v>99049.77</v>
      </c>
      <c r="M30" s="50"/>
      <c r="N30" s="218"/>
      <c r="O30" s="218"/>
      <c r="P30" s="573"/>
      <c r="Q30"/>
    </row>
    <row r="31" spans="1:17" x14ac:dyDescent="0.25">
      <c r="A31" s="2"/>
      <c r="B31" s="879"/>
      <c r="C31" s="155" t="str">
        <f>+'VENTAS 2021'!F34</f>
        <v xml:space="preserve">EMI </v>
      </c>
      <c r="D31" s="156">
        <f>+'VENTAS 2021'!G34</f>
        <v>44356</v>
      </c>
      <c r="E31" s="155" t="str">
        <f>+'VENTAS 2021'!I34</f>
        <v>72 - 6ºJ</v>
      </c>
      <c r="F31" s="155" t="str">
        <f>+'VENTAS 2021'!K34</f>
        <v>DUO</v>
      </c>
      <c r="G31" s="157">
        <f>+'VENTAS 2021'!L34</f>
        <v>65.078243090401983</v>
      </c>
      <c r="H31" s="779">
        <f t="shared" si="8"/>
        <v>41857.045520184452</v>
      </c>
      <c r="I31" s="780">
        <f t="shared" si="9"/>
        <v>643.18032467532464</v>
      </c>
      <c r="J31" s="780">
        <v>154</v>
      </c>
      <c r="K31" s="158">
        <f>+'VENTAS 2021'!O34</f>
        <v>6445985.0101084057</v>
      </c>
      <c r="L31" s="781">
        <f>+'VENTAS 2021'!P34</f>
        <v>99049.77</v>
      </c>
      <c r="M31" s="61"/>
      <c r="N31" s="60"/>
      <c r="O31" s="60"/>
      <c r="P31" s="572"/>
      <c r="Q31"/>
    </row>
    <row r="32" spans="1:17" x14ac:dyDescent="0.25">
      <c r="A32" s="2"/>
      <c r="B32" s="879"/>
      <c r="C32" s="155" t="str">
        <f>+'VENTAS 2021'!F36</f>
        <v>HAEL</v>
      </c>
      <c r="D32" s="156">
        <f>+'VENTAS 2021'!G36</f>
        <v>44357</v>
      </c>
      <c r="E32" s="155" t="str">
        <f>+'VENTAS 2021'!I36</f>
        <v>121-13ºA</v>
      </c>
      <c r="F32" s="155" t="str">
        <f>+'VENTAS 2021'!K36</f>
        <v>ZOE</v>
      </c>
      <c r="G32" s="157">
        <f>+'VENTAS 2021'!L36</f>
        <v>75.67</v>
      </c>
      <c r="H32" s="779">
        <f t="shared" si="8"/>
        <v>59591.135099337749</v>
      </c>
      <c r="I32" s="780">
        <f t="shared" si="9"/>
        <v>787.51334874240445</v>
      </c>
      <c r="J32" s="780">
        <v>151</v>
      </c>
      <c r="K32" s="158">
        <f>+'VENTAS 2021'!O36</f>
        <v>8998261.4000000004</v>
      </c>
      <c r="L32" s="781">
        <f>+'VENTAS 2021'!P36</f>
        <v>118914.51566010308</v>
      </c>
      <c r="M32" s="50"/>
      <c r="N32" s="218"/>
      <c r="O32" s="218"/>
      <c r="P32" s="573"/>
      <c r="Q32"/>
    </row>
    <row r="33" spans="1:17" x14ac:dyDescent="0.25">
      <c r="A33" s="2"/>
      <c r="B33" s="879"/>
      <c r="C33" s="155" t="str">
        <f>+'VENTAS 2021'!F37</f>
        <v>HAEL</v>
      </c>
      <c r="D33" s="156">
        <f>+'VENTAS 2021'!G37</f>
        <v>44357</v>
      </c>
      <c r="E33" s="155" t="str">
        <f>+'VENTAS 2021'!I37</f>
        <v>137 - 15ºA</v>
      </c>
      <c r="F33" s="155" t="str">
        <f>+'VENTAS 2021'!K37</f>
        <v>ZOE</v>
      </c>
      <c r="G33" s="157">
        <f>+'VENTAS 2021'!L37</f>
        <v>75.67</v>
      </c>
      <c r="H33" s="779">
        <f t="shared" si="8"/>
        <v>59591.135099337749</v>
      </c>
      <c r="I33" s="780">
        <f t="shared" si="9"/>
        <v>787.51334874240445</v>
      </c>
      <c r="J33" s="780">
        <v>151</v>
      </c>
      <c r="K33" s="158">
        <f>+'VENTAS 2021'!O37</f>
        <v>8998261.4000000004</v>
      </c>
      <c r="L33" s="781">
        <f>+'VENTAS 2021'!P37</f>
        <v>118914.51566010308</v>
      </c>
      <c r="M33" s="61"/>
      <c r="N33" s="60"/>
      <c r="O33" s="60"/>
      <c r="P33" s="572"/>
      <c r="Q33"/>
    </row>
    <row r="34" spans="1:17" ht="15.75" customHeight="1" x14ac:dyDescent="0.25">
      <c r="A34" s="4"/>
      <c r="B34" s="879"/>
      <c r="C34" s="155" t="str">
        <f>+'VENTAS 2021'!F38</f>
        <v>HAEL</v>
      </c>
      <c r="D34" s="156">
        <f>+'VENTAS 2021'!G38</f>
        <v>44357</v>
      </c>
      <c r="E34" s="155" t="str">
        <f>+'VENTAS 2021'!I38</f>
        <v>14 - COCH 14</v>
      </c>
      <c r="F34" s="155" t="str">
        <f>+'VENTAS 2021'!K38</f>
        <v>ZOE</v>
      </c>
      <c r="G34" s="157">
        <f>+'VENTAS 2021'!L38</f>
        <v>19.43</v>
      </c>
      <c r="H34" s="779">
        <f t="shared" si="8"/>
        <v>10817.729801324504</v>
      </c>
      <c r="I34" s="780">
        <f t="shared" si="9"/>
        <v>556.75397845211035</v>
      </c>
      <c r="J34" s="780">
        <v>151</v>
      </c>
      <c r="K34" s="158">
        <f>+'VENTAS 2021'!O38</f>
        <v>1633477.2</v>
      </c>
      <c r="L34" s="781">
        <f>+'VENTAS 2021'!P38</f>
        <v>84069.850746268654</v>
      </c>
      <c r="M34" s="50"/>
      <c r="N34" s="218"/>
      <c r="O34" s="218"/>
      <c r="P34" s="573"/>
      <c r="Q34"/>
    </row>
    <row r="35" spans="1:17" x14ac:dyDescent="0.25">
      <c r="A35" s="4"/>
      <c r="B35" s="879"/>
      <c r="C35" s="155" t="str">
        <f>+'VENTAS 2021'!F39</f>
        <v>CALDELARI</v>
      </c>
      <c r="D35" s="156">
        <f>+'VENTAS 2021'!G39</f>
        <v>44356</v>
      </c>
      <c r="E35" s="155" t="str">
        <f>+'VENTAS 2021'!I39</f>
        <v>41-6ºC</v>
      </c>
      <c r="F35" s="155" t="str">
        <f>+'VENTAS 2021'!K39</f>
        <v xml:space="preserve">ISAURA </v>
      </c>
      <c r="G35" s="157">
        <f>+'VENTAS 2021'!L39</f>
        <v>56</v>
      </c>
      <c r="H35" s="779">
        <f t="shared" si="8"/>
        <v>42208.344155844155</v>
      </c>
      <c r="I35" s="780">
        <f t="shared" si="9"/>
        <v>753.7204313543599</v>
      </c>
      <c r="J35" s="780">
        <v>154</v>
      </c>
      <c r="K35" s="158">
        <f>+'VENTAS 2021'!O39</f>
        <v>6500085</v>
      </c>
      <c r="L35" s="781">
        <f>+'VENTAS 2021'!P39</f>
        <v>116072.94642857143</v>
      </c>
      <c r="N35"/>
      <c r="P35" s="1"/>
      <c r="Q35"/>
    </row>
    <row r="36" spans="1:17" x14ac:dyDescent="0.25">
      <c r="A36" s="4"/>
      <c r="B36" s="879"/>
      <c r="C36" s="155" t="str">
        <f>+'VENTAS 2021'!F40</f>
        <v xml:space="preserve">ESPECHE </v>
      </c>
      <c r="D36" s="156">
        <f>+'VENTAS 2021'!G40</f>
        <v>44357</v>
      </c>
      <c r="E36" s="155" t="str">
        <f>+'VENTAS 2021'!I40</f>
        <v>52 - 8ºB</v>
      </c>
      <c r="F36" s="155" t="str">
        <f>+'VENTAS 2021'!K40</f>
        <v xml:space="preserve">ISAURA </v>
      </c>
      <c r="G36" s="157">
        <f>+'VENTAS 2021'!L40</f>
        <v>41.35</v>
      </c>
      <c r="H36" s="779">
        <f t="shared" si="8"/>
        <v>32220.779220779219</v>
      </c>
      <c r="I36" s="780">
        <f t="shared" si="9"/>
        <v>779.22077922077915</v>
      </c>
      <c r="J36" s="780">
        <v>154</v>
      </c>
      <c r="K36" s="158">
        <f>+'VENTAS 2021'!O40</f>
        <v>4962000</v>
      </c>
      <c r="L36" s="781">
        <f>+'VENTAS 2021'!P40</f>
        <v>120000</v>
      </c>
      <c r="Q36"/>
    </row>
    <row r="37" spans="1:17" x14ac:dyDescent="0.25">
      <c r="A37" s="4"/>
      <c r="B37" s="879"/>
      <c r="C37" s="155" t="str">
        <f>+'VENTAS 2021'!F41</f>
        <v>FERNANDEZ</v>
      </c>
      <c r="D37" s="156">
        <f>+'VENTAS 2021'!G41</f>
        <v>44365</v>
      </c>
      <c r="E37" s="155" t="str">
        <f>+'VENTAS 2021'!I41</f>
        <v>5ºE</v>
      </c>
      <c r="F37" s="155" t="str">
        <f>+'VENTAS 2021'!K41</f>
        <v>BLUE</v>
      </c>
      <c r="G37" s="157">
        <f>+'VENTAS 2021'!L41</f>
        <v>41.43</v>
      </c>
      <c r="H37" s="779">
        <f t="shared" ref="H37:H38" si="10">+K37/J37</f>
        <v>34000</v>
      </c>
      <c r="I37" s="780">
        <f t="shared" ref="I37:I38" si="11">+H37/G37</f>
        <v>820.66135650494812</v>
      </c>
      <c r="J37" s="780">
        <v>156</v>
      </c>
      <c r="K37" s="158">
        <f>+'VENTAS 2021'!O41</f>
        <v>5304000</v>
      </c>
      <c r="L37" s="781">
        <f>+'VENTAS 2021'!P41</f>
        <v>128023.17161477191</v>
      </c>
      <c r="N37"/>
      <c r="P37" s="1"/>
      <c r="Q37"/>
    </row>
    <row r="38" spans="1:17" x14ac:dyDescent="0.25">
      <c r="A38" s="4"/>
      <c r="B38" s="879"/>
      <c r="C38" s="155" t="str">
        <f>+'VENTAS 2021'!F42</f>
        <v>FERNANDEZ</v>
      </c>
      <c r="D38" s="156">
        <f>+'VENTAS 2021'!G42</f>
        <v>44365</v>
      </c>
      <c r="E38" s="155" t="str">
        <f>+'VENTAS 2021'!I42</f>
        <v>12ºE</v>
      </c>
      <c r="F38" s="155" t="str">
        <f>+'VENTAS 2021'!K42</f>
        <v>BLUE</v>
      </c>
      <c r="G38" s="157">
        <f>+'VENTAS 2021'!L42</f>
        <v>41.43</v>
      </c>
      <c r="H38" s="779">
        <f t="shared" si="10"/>
        <v>34000</v>
      </c>
      <c r="I38" s="780">
        <f t="shared" si="11"/>
        <v>820.66135650494812</v>
      </c>
      <c r="J38" s="780">
        <v>156</v>
      </c>
      <c r="K38" s="158">
        <f>+'VENTAS 2021'!O42</f>
        <v>5304000</v>
      </c>
      <c r="L38" s="781">
        <f>+'VENTAS 2021'!P42</f>
        <v>128023.17161477191</v>
      </c>
      <c r="Q38"/>
    </row>
    <row r="39" spans="1:17" x14ac:dyDescent="0.25">
      <c r="A39" s="4"/>
      <c r="B39" s="880"/>
      <c r="C39" s="155" t="str">
        <f>+'VENTAS 2021'!F43</f>
        <v>PEREZ LUISA</v>
      </c>
      <c r="D39" s="156">
        <f>+'VENTAS 2021'!G43</f>
        <v>44371</v>
      </c>
      <c r="E39" s="155" t="str">
        <f>+'VENTAS 2021'!I43</f>
        <v>86- 8ºF</v>
      </c>
      <c r="F39" s="155" t="str">
        <f>+'VENTAS 2021'!K43</f>
        <v>ZOE</v>
      </c>
      <c r="G39" s="157">
        <f>+'VENTAS 2021'!L43</f>
        <v>47.2</v>
      </c>
      <c r="H39" s="779">
        <f t="shared" ref="H39" si="12">+K39/J39</f>
        <v>33925</v>
      </c>
      <c r="I39" s="780">
        <f t="shared" ref="I39" si="13">+H39/G39</f>
        <v>718.75</v>
      </c>
      <c r="J39" s="780">
        <v>160</v>
      </c>
      <c r="K39" s="158">
        <f>+'VENTAS 2021'!O43</f>
        <v>5428000</v>
      </c>
      <c r="L39" s="781">
        <f>+'VENTAS 2021'!P43</f>
        <v>115000</v>
      </c>
      <c r="Q39"/>
    </row>
    <row r="40" spans="1:17" x14ac:dyDescent="0.25">
      <c r="A40" s="4"/>
      <c r="B40" s="881" t="s">
        <v>30</v>
      </c>
      <c r="C40" s="155" t="str">
        <f>+'VENTAS 2021'!F44</f>
        <v>RUIZ VIOLA LUCIA</v>
      </c>
      <c r="D40" s="156">
        <f>+'VENTAS 2021'!G44</f>
        <v>44376</v>
      </c>
      <c r="E40" s="155" t="str">
        <f>+'VENTAS 2021'!I44</f>
        <v>24 - 3ºD</v>
      </c>
      <c r="F40" s="155" t="str">
        <f>+'VENTAS 2021'!K44</f>
        <v xml:space="preserve">ISAURA </v>
      </c>
      <c r="G40" s="157">
        <f>+'VENTAS 2021'!L44</f>
        <v>58.78</v>
      </c>
      <c r="H40" s="779">
        <f t="shared" ref="H40" si="14">+K40/J40</f>
        <v>37922.580645161288</v>
      </c>
      <c r="I40" s="780">
        <f t="shared" ref="I40" si="15">+H40/G40</f>
        <v>645.16129032258061</v>
      </c>
      <c r="J40" s="780">
        <v>170.5</v>
      </c>
      <c r="K40" s="158">
        <f>+'VENTAS 2021'!O44</f>
        <v>6465800</v>
      </c>
      <c r="L40" s="781">
        <f>+'VENTAS 2021'!P44</f>
        <v>110000</v>
      </c>
      <c r="M40" s="146" t="s">
        <v>24</v>
      </c>
      <c r="N40" s="51">
        <f>SUM(K24:K40)</f>
        <v>93939007.441381305</v>
      </c>
      <c r="O40" s="149">
        <v>11205</v>
      </c>
      <c r="P40" s="571">
        <f>+N40/O40</f>
        <v>8383.668669467319</v>
      </c>
      <c r="Q40"/>
    </row>
    <row r="41" spans="1:17" ht="15" hidden="1" customHeight="1" x14ac:dyDescent="0.25">
      <c r="A41" s="4"/>
      <c r="B41" s="874"/>
      <c r="C41" s="515">
        <f>+'VENTAS 2021'!F47</f>
        <v>0</v>
      </c>
      <c r="D41" s="395">
        <f>+'VENTAS 2021'!G47</f>
        <v>0</v>
      </c>
      <c r="E41" s="394">
        <f>+'VENTAS 2021'!I47</f>
        <v>0</v>
      </c>
      <c r="F41" s="394">
        <f>+'VENTAS 2021'!K47</f>
        <v>0</v>
      </c>
      <c r="G41" s="397">
        <f>+'VENTAS 2021'!L47</f>
        <v>0</v>
      </c>
      <c r="H41" s="681"/>
      <c r="I41" s="430"/>
      <c r="J41" s="430"/>
      <c r="K41" s="398">
        <f>+'VENTAS 2021'!O47</f>
        <v>0</v>
      </c>
      <c r="L41" s="398">
        <f>+'VENTAS 2021'!P47</f>
        <v>0</v>
      </c>
      <c r="N41"/>
      <c r="P41" s="1"/>
      <c r="Q41"/>
    </row>
    <row r="42" spans="1:17" hidden="1" x14ac:dyDescent="0.25">
      <c r="A42" s="4"/>
      <c r="B42" s="874"/>
      <c r="C42" s="515">
        <f>+'VENTAS 2021'!F48</f>
        <v>0</v>
      </c>
      <c r="D42" s="395">
        <f>+'VENTAS 2021'!G48</f>
        <v>0</v>
      </c>
      <c r="E42" s="394">
        <f>+'VENTAS 2021'!I48</f>
        <v>0</v>
      </c>
      <c r="F42" s="394">
        <f>+'VENTAS 2021'!K48</f>
        <v>0</v>
      </c>
      <c r="G42" s="397">
        <f>+'VENTAS 2021'!L48</f>
        <v>0</v>
      </c>
      <c r="H42" s="681"/>
      <c r="I42" s="430"/>
      <c r="J42" s="430"/>
      <c r="K42" s="398">
        <f>+'VENTAS 2021'!O48</f>
        <v>0</v>
      </c>
      <c r="L42" s="398">
        <f>+'VENTAS 2021'!P48</f>
        <v>0</v>
      </c>
      <c r="N42"/>
      <c r="P42" s="1"/>
      <c r="Q42"/>
    </row>
    <row r="43" spans="1:17" hidden="1" x14ac:dyDescent="0.25">
      <c r="A43" s="4"/>
      <c r="B43" s="874"/>
      <c r="C43" s="515">
        <f>+'VENTAS 2021'!F49</f>
        <v>0</v>
      </c>
      <c r="D43" s="395">
        <f>+'VENTAS 2021'!G49</f>
        <v>0</v>
      </c>
      <c r="E43" s="394">
        <f>+'VENTAS 2021'!I49</f>
        <v>0</v>
      </c>
      <c r="F43" s="394">
        <f>+'VENTAS 2021'!K49</f>
        <v>0</v>
      </c>
      <c r="G43" s="397">
        <f>+'VENTAS 2021'!L49</f>
        <v>0</v>
      </c>
      <c r="H43" s="681"/>
      <c r="I43" s="430"/>
      <c r="J43" s="430"/>
      <c r="K43" s="398">
        <f>+'VENTAS 2021'!O49</f>
        <v>0</v>
      </c>
      <c r="L43" s="398">
        <f>+'VENTAS 2021'!P49</f>
        <v>0</v>
      </c>
      <c r="M43" s="146" t="s">
        <v>45</v>
      </c>
      <c r="N43" s="51">
        <f>SUM(K42:K43)</f>
        <v>0</v>
      </c>
      <c r="O43" s="149"/>
      <c r="P43" s="571"/>
      <c r="Q43"/>
    </row>
    <row r="44" spans="1:17" hidden="1" x14ac:dyDescent="0.25">
      <c r="A44" s="4"/>
      <c r="B44" s="874"/>
      <c r="C44" s="515">
        <f>+'VENTAS 2021'!F50</f>
        <v>0</v>
      </c>
      <c r="D44" s="395">
        <f>+'VENTAS 2021'!G50</f>
        <v>0</v>
      </c>
      <c r="E44" s="394">
        <f>+'VENTAS 2021'!I50</f>
        <v>0</v>
      </c>
      <c r="F44" s="394">
        <f>+'VENTAS 2021'!K50</f>
        <v>0</v>
      </c>
      <c r="G44" s="397">
        <f>+'VENTAS 2021'!L50</f>
        <v>0</v>
      </c>
      <c r="H44" s="681"/>
      <c r="I44" s="430"/>
      <c r="J44" s="430"/>
      <c r="K44" s="398">
        <f>+'VENTAS 2021'!O50</f>
        <v>0</v>
      </c>
      <c r="L44" s="398">
        <f>+'VENTAS 2021'!P50</f>
        <v>0</v>
      </c>
      <c r="N44"/>
      <c r="P44" s="1"/>
      <c r="Q44"/>
    </row>
    <row r="45" spans="1:17" ht="15.75" hidden="1" thickBot="1" x14ac:dyDescent="0.3">
      <c r="A45" s="4"/>
      <c r="B45" s="875"/>
      <c r="C45" s="515">
        <f>+'VENTAS 2021'!F51</f>
        <v>0</v>
      </c>
      <c r="D45" s="395">
        <f>+'VENTAS 2021'!G51</f>
        <v>0</v>
      </c>
      <c r="E45" s="394">
        <f>+'VENTAS 2021'!I51</f>
        <v>0</v>
      </c>
      <c r="F45" s="394">
        <f>+'VENTAS 2021'!K51</f>
        <v>0</v>
      </c>
      <c r="G45" s="397">
        <f>+'VENTAS 2021'!L51</f>
        <v>0</v>
      </c>
      <c r="H45" s="681"/>
      <c r="I45" s="430"/>
      <c r="J45" s="430"/>
      <c r="K45" s="398">
        <f>+'VENTAS 2021'!O51</f>
        <v>0</v>
      </c>
      <c r="L45" s="398">
        <f>+'VENTAS 2021'!P51</f>
        <v>0</v>
      </c>
      <c r="M45" s="362" t="s">
        <v>30</v>
      </c>
      <c r="N45" s="48">
        <f>SUM(K41:K45)</f>
        <v>0</v>
      </c>
      <c r="O45" s="149"/>
      <c r="P45" s="571"/>
      <c r="Q45"/>
    </row>
    <row r="46" spans="1:17" hidden="1" x14ac:dyDescent="0.25">
      <c r="A46" s="4"/>
      <c r="B46" s="873" t="s">
        <v>31</v>
      </c>
      <c r="C46" s="515">
        <f>+'VENTAS 2021'!F52</f>
        <v>0</v>
      </c>
      <c r="D46" s="395">
        <f>+'VENTAS 2021'!G52</f>
        <v>0</v>
      </c>
      <c r="E46" s="394">
        <f>+'VENTAS 2021'!I52</f>
        <v>0</v>
      </c>
      <c r="F46" s="394">
        <f>+'VENTAS 2021'!K52</f>
        <v>0</v>
      </c>
      <c r="G46" s="397">
        <f>+'VENTAS 2021'!L52</f>
        <v>0</v>
      </c>
      <c r="H46" s="681"/>
      <c r="I46" s="430"/>
      <c r="J46" s="430"/>
      <c r="K46" s="398">
        <f>+'VENTAS 2021'!O52</f>
        <v>0</v>
      </c>
      <c r="L46" s="398">
        <f>+'VENTAS 2021'!P52</f>
        <v>0</v>
      </c>
      <c r="N46"/>
      <c r="P46" s="1"/>
      <c r="Q46"/>
    </row>
    <row r="47" spans="1:17" hidden="1" x14ac:dyDescent="0.25">
      <c r="A47" s="4"/>
      <c r="B47" s="874"/>
      <c r="C47" s="515">
        <f>+'VENTAS 2021'!F53</f>
        <v>0</v>
      </c>
      <c r="D47" s="395">
        <f>+'VENTAS 2021'!G53</f>
        <v>0</v>
      </c>
      <c r="E47" s="394">
        <f>+'VENTAS 2021'!I53</f>
        <v>0</v>
      </c>
      <c r="F47" s="394">
        <f>+'VENTAS 2021'!K53</f>
        <v>0</v>
      </c>
      <c r="G47" s="397">
        <f>+'VENTAS 2021'!L53</f>
        <v>0</v>
      </c>
      <c r="H47" s="681"/>
      <c r="I47" s="430"/>
      <c r="J47" s="430"/>
      <c r="K47" s="398">
        <f>+'VENTAS 2021'!O53</f>
        <v>0</v>
      </c>
      <c r="L47" s="398">
        <f>+'VENTAS 2021'!P53</f>
        <v>0</v>
      </c>
      <c r="N47"/>
      <c r="P47" s="1"/>
      <c r="Q47"/>
    </row>
    <row r="48" spans="1:17" hidden="1" x14ac:dyDescent="0.25">
      <c r="A48" s="4"/>
      <c r="B48" s="874"/>
      <c r="C48" s="515">
        <f>+'VENTAS 2021'!F54</f>
        <v>0</v>
      </c>
      <c r="D48" s="395">
        <f>+'VENTAS 2021'!G54</f>
        <v>0</v>
      </c>
      <c r="E48" s="394">
        <f>+'VENTAS 2021'!I54</f>
        <v>0</v>
      </c>
      <c r="F48" s="394">
        <f>+'VENTAS 2021'!K54</f>
        <v>0</v>
      </c>
      <c r="G48" s="397">
        <f>+'VENTAS 2021'!L54</f>
        <v>0</v>
      </c>
      <c r="H48" s="681"/>
      <c r="I48" s="430"/>
      <c r="J48" s="430"/>
      <c r="K48" s="398">
        <f>+'VENTAS 2021'!O54</f>
        <v>0</v>
      </c>
      <c r="L48" s="398">
        <f>+'VENTAS 2021'!P54</f>
        <v>0</v>
      </c>
      <c r="N48"/>
      <c r="P48" s="1"/>
      <c r="Q48"/>
    </row>
    <row r="49" spans="1:30" hidden="1" x14ac:dyDescent="0.25">
      <c r="A49" s="4"/>
      <c r="B49" s="874"/>
      <c r="C49" s="515">
        <f>+'VENTAS 2021'!F55</f>
        <v>0</v>
      </c>
      <c r="D49" s="395">
        <f>+'VENTAS 2021'!G55</f>
        <v>0</v>
      </c>
      <c r="E49" s="394">
        <f>+'VENTAS 2021'!I55</f>
        <v>0</v>
      </c>
      <c r="F49" s="394">
        <f>+'VENTAS 2021'!K55</f>
        <v>0</v>
      </c>
      <c r="G49" s="397">
        <f>+'VENTAS 2021'!L55</f>
        <v>0</v>
      </c>
      <c r="H49" s="681"/>
      <c r="I49" s="430"/>
      <c r="J49" s="430"/>
      <c r="K49" s="398">
        <f>+'VENTAS 2021'!O55</f>
        <v>0</v>
      </c>
      <c r="L49" s="398">
        <f>+'VENTAS 2021'!P55</f>
        <v>0</v>
      </c>
      <c r="N49"/>
      <c r="P49" s="1"/>
      <c r="Q49"/>
    </row>
    <row r="50" spans="1:30" ht="15.75" hidden="1" thickBot="1" x14ac:dyDescent="0.3">
      <c r="A50" s="4"/>
      <c r="B50" s="875"/>
      <c r="C50" s="515">
        <f>+'VENTAS 2021'!F56</f>
        <v>0</v>
      </c>
      <c r="D50" s="395">
        <f>+'VENTAS 2021'!G56</f>
        <v>0</v>
      </c>
      <c r="E50" s="394">
        <f>+'VENTAS 2021'!I56</f>
        <v>0</v>
      </c>
      <c r="F50" s="394">
        <f>+'VENTAS 2021'!K56</f>
        <v>0</v>
      </c>
      <c r="G50" s="397">
        <f>+'VENTAS 2021'!L56</f>
        <v>0</v>
      </c>
      <c r="H50" s="681"/>
      <c r="I50" s="430"/>
      <c r="J50" s="430"/>
      <c r="K50" s="398">
        <f>+'VENTAS 2021'!O56</f>
        <v>0</v>
      </c>
      <c r="L50" s="398">
        <f>+'VENTAS 2021'!P56</f>
        <v>0</v>
      </c>
      <c r="M50" s="146" t="s">
        <v>31</v>
      </c>
      <c r="N50" s="51">
        <f>SUM(K46:K50)</f>
        <v>0</v>
      </c>
      <c r="O50" s="149"/>
      <c r="P50" s="571"/>
      <c r="Q50"/>
    </row>
    <row r="51" spans="1:30" s="44" customFormat="1" hidden="1" x14ac:dyDescent="0.25">
      <c r="A51" s="41"/>
      <c r="B51" s="873" t="s">
        <v>34</v>
      </c>
      <c r="C51" s="515">
        <f>+'VENTAS 2021'!F57</f>
        <v>0</v>
      </c>
      <c r="D51" s="395">
        <f>+'VENTAS 2021'!G57</f>
        <v>0</v>
      </c>
      <c r="E51" s="394">
        <f>+'VENTAS 2021'!I57</f>
        <v>0</v>
      </c>
      <c r="F51" s="394">
        <f>+'VENTAS 2021'!K57</f>
        <v>0</v>
      </c>
      <c r="G51" s="397">
        <f>+'VENTAS 2021'!L57</f>
        <v>0</v>
      </c>
      <c r="H51" s="681"/>
      <c r="I51" s="430"/>
      <c r="J51" s="430"/>
      <c r="K51" s="398">
        <f>+'VENTAS 2021'!O57</f>
        <v>0</v>
      </c>
      <c r="L51" s="398">
        <f>+'VENTAS 2021'!P57</f>
        <v>0</v>
      </c>
      <c r="P51" s="575"/>
    </row>
    <row r="52" spans="1:30" s="44" customFormat="1" hidden="1" x14ac:dyDescent="0.25">
      <c r="A52" s="41"/>
      <c r="B52" s="874"/>
      <c r="C52" s="515">
        <f>+'VENTAS 2021'!F58</f>
        <v>0</v>
      </c>
      <c r="D52" s="395">
        <f>+'VENTAS 2021'!G58</f>
        <v>0</v>
      </c>
      <c r="E52" s="394">
        <f>+'VENTAS 2021'!I58</f>
        <v>0</v>
      </c>
      <c r="F52" s="394">
        <f>+'VENTAS 2021'!K58</f>
        <v>0</v>
      </c>
      <c r="G52" s="397">
        <f>+'VENTAS 2021'!L58</f>
        <v>0</v>
      </c>
      <c r="H52" s="681"/>
      <c r="I52" s="430"/>
      <c r="J52" s="430"/>
      <c r="K52" s="398">
        <f>+'VENTAS 2021'!O58</f>
        <v>0</v>
      </c>
      <c r="L52" s="398">
        <f>+'VENTAS 2021'!P58</f>
        <v>0</v>
      </c>
      <c r="P52" s="575"/>
    </row>
    <row r="53" spans="1:30" s="44" customFormat="1" hidden="1" x14ac:dyDescent="0.25">
      <c r="A53" s="41"/>
      <c r="B53" s="874"/>
      <c r="C53" s="515">
        <f>+'VENTAS 2021'!F59</f>
        <v>0</v>
      </c>
      <c r="D53" s="395">
        <f>+'VENTAS 2021'!G59</f>
        <v>0</v>
      </c>
      <c r="E53" s="394">
        <f>+'VENTAS 2021'!I59</f>
        <v>0</v>
      </c>
      <c r="F53" s="394">
        <f>+'VENTAS 2021'!K59</f>
        <v>0</v>
      </c>
      <c r="G53" s="397">
        <f>+'VENTAS 2021'!L59</f>
        <v>0</v>
      </c>
      <c r="H53" s="681"/>
      <c r="I53" s="430"/>
      <c r="J53" s="430"/>
      <c r="K53" s="398">
        <f>+'VENTAS 2021'!O59</f>
        <v>0</v>
      </c>
      <c r="L53" s="398">
        <f>+'VENTAS 2021'!P59</f>
        <v>0</v>
      </c>
      <c r="P53" s="575"/>
    </row>
    <row r="54" spans="1:30" s="44" customFormat="1" hidden="1" x14ac:dyDescent="0.25">
      <c r="A54" s="41"/>
      <c r="B54" s="874"/>
      <c r="C54" s="515">
        <f>+'VENTAS 2021'!F60</f>
        <v>0</v>
      </c>
      <c r="D54" s="395">
        <f>+'VENTAS 2021'!G60</f>
        <v>0</v>
      </c>
      <c r="E54" s="394">
        <f>+'VENTAS 2021'!I60</f>
        <v>0</v>
      </c>
      <c r="F54" s="394">
        <f>+'VENTAS 2021'!K60</f>
        <v>0</v>
      </c>
      <c r="G54" s="397">
        <f>+'VENTAS 2021'!L60</f>
        <v>0</v>
      </c>
      <c r="H54" s="681"/>
      <c r="I54" s="430"/>
      <c r="J54" s="430"/>
      <c r="K54" s="398">
        <f>+'VENTAS 2021'!O60</f>
        <v>0</v>
      </c>
      <c r="L54" s="398">
        <f>+'VENTAS 2021'!P60</f>
        <v>0</v>
      </c>
      <c r="P54" s="575"/>
    </row>
    <row r="55" spans="1:30" s="44" customFormat="1" ht="15.75" hidden="1" thickBot="1" x14ac:dyDescent="0.3">
      <c r="A55" s="41"/>
      <c r="B55" s="875"/>
      <c r="C55" s="515">
        <f>+'VENTAS 2021'!F61</f>
        <v>0</v>
      </c>
      <c r="D55" s="395">
        <f>+'VENTAS 2021'!G61</f>
        <v>0</v>
      </c>
      <c r="E55" s="394">
        <f>+'VENTAS 2021'!I61</f>
        <v>0</v>
      </c>
      <c r="F55" s="394">
        <f>+'VENTAS 2021'!K61</f>
        <v>0</v>
      </c>
      <c r="G55" s="397">
        <f>+'VENTAS 2021'!L61</f>
        <v>0</v>
      </c>
      <c r="H55" s="681"/>
      <c r="I55" s="430"/>
      <c r="J55" s="430"/>
      <c r="K55" s="398">
        <f>+'VENTAS 2021'!O61</f>
        <v>0</v>
      </c>
      <c r="L55" s="398">
        <f>+'VENTAS 2021'!P61</f>
        <v>0</v>
      </c>
      <c r="M55" s="146" t="s">
        <v>34</v>
      </c>
      <c r="N55" s="51">
        <f>SUM(K51:K55)</f>
        <v>0</v>
      </c>
      <c r="O55" s="149"/>
      <c r="P55" s="571"/>
    </row>
    <row r="56" spans="1:30" s="44" customFormat="1" hidden="1" x14ac:dyDescent="0.25">
      <c r="A56" s="41"/>
      <c r="B56" s="873" t="s">
        <v>35</v>
      </c>
      <c r="C56" s="515">
        <f>+'VENTAS 2021'!F62</f>
        <v>0</v>
      </c>
      <c r="D56" s="395">
        <f>+'VENTAS 2021'!G62</f>
        <v>0</v>
      </c>
      <c r="E56" s="394">
        <f>+'VENTAS 2021'!I62</f>
        <v>0</v>
      </c>
      <c r="F56" s="394">
        <f>+'VENTAS 2021'!K62</f>
        <v>0</v>
      </c>
      <c r="G56" s="397">
        <f>+'VENTAS 2021'!L62</f>
        <v>0</v>
      </c>
      <c r="H56" s="681"/>
      <c r="I56" s="430"/>
      <c r="J56" s="430"/>
      <c r="K56" s="398">
        <f>+'VENTAS 2021'!O62</f>
        <v>0</v>
      </c>
      <c r="L56" s="398">
        <f>+'VENTAS 2021'!P62</f>
        <v>0</v>
      </c>
      <c r="P56" s="575"/>
    </row>
    <row r="57" spans="1:30" s="44" customFormat="1" hidden="1" x14ac:dyDescent="0.25">
      <c r="A57" s="41"/>
      <c r="B57" s="874"/>
      <c r="C57" s="515">
        <f>+'VENTAS 2021'!F63</f>
        <v>0</v>
      </c>
      <c r="D57" s="395">
        <f>+'VENTAS 2021'!G63</f>
        <v>0</v>
      </c>
      <c r="E57" s="394">
        <f>+'VENTAS 2021'!I63</f>
        <v>0</v>
      </c>
      <c r="F57" s="394">
        <f>+'VENTAS 2021'!K63</f>
        <v>0</v>
      </c>
      <c r="G57" s="397">
        <f>+'VENTAS 2021'!L63</f>
        <v>0</v>
      </c>
      <c r="H57" s="681"/>
      <c r="I57" s="430"/>
      <c r="J57" s="430"/>
      <c r="K57" s="398">
        <f>+'VENTAS 2021'!O63</f>
        <v>0</v>
      </c>
      <c r="L57" s="398">
        <f>+'VENTAS 2021'!P63</f>
        <v>0</v>
      </c>
      <c r="P57" s="575"/>
    </row>
    <row r="58" spans="1:30" s="44" customFormat="1" hidden="1" x14ac:dyDescent="0.25">
      <c r="A58" s="41"/>
      <c r="B58" s="874"/>
      <c r="C58" s="515">
        <f>+'VENTAS 2021'!F64</f>
        <v>0</v>
      </c>
      <c r="D58" s="395">
        <f>+'VENTAS 2021'!G64</f>
        <v>0</v>
      </c>
      <c r="E58" s="394">
        <f>+'VENTAS 2021'!I64</f>
        <v>0</v>
      </c>
      <c r="F58" s="394">
        <f>+'VENTAS 2021'!K64</f>
        <v>0</v>
      </c>
      <c r="G58" s="397">
        <f>+'VENTAS 2021'!L64</f>
        <v>0</v>
      </c>
      <c r="H58" s="681"/>
      <c r="I58" s="430"/>
      <c r="J58" s="430"/>
      <c r="K58" s="398">
        <f>+'VENTAS 2021'!O64</f>
        <v>0</v>
      </c>
      <c r="L58" s="398">
        <f>+'VENTAS 2021'!P64</f>
        <v>0</v>
      </c>
      <c r="P58" s="575"/>
    </row>
    <row r="59" spans="1:30" s="44" customFormat="1" hidden="1" x14ac:dyDescent="0.25">
      <c r="A59" s="41"/>
      <c r="B59" s="874"/>
      <c r="C59" s="515">
        <f>+'VENTAS 2021'!F65</f>
        <v>0</v>
      </c>
      <c r="D59" s="395">
        <f>+'VENTAS 2021'!G65</f>
        <v>0</v>
      </c>
      <c r="E59" s="394">
        <f>+'VENTAS 2021'!I65</f>
        <v>0</v>
      </c>
      <c r="F59" s="394">
        <f>+'VENTAS 2021'!K65</f>
        <v>0</v>
      </c>
      <c r="G59" s="397">
        <f>+'VENTAS 2021'!L65</f>
        <v>0</v>
      </c>
      <c r="H59" s="681"/>
      <c r="I59" s="430"/>
      <c r="J59" s="430"/>
      <c r="K59" s="398">
        <f>+'VENTAS 2021'!O65</f>
        <v>0</v>
      </c>
      <c r="L59" s="398">
        <f>+'VENTAS 2021'!P65</f>
        <v>0</v>
      </c>
      <c r="P59" s="575"/>
    </row>
    <row r="60" spans="1:30" s="44" customFormat="1" ht="15.75" hidden="1" thickBot="1" x14ac:dyDescent="0.3">
      <c r="A60" s="41"/>
      <c r="B60" s="875"/>
      <c r="C60" s="515">
        <f>+'VENTAS 2021'!F66</f>
        <v>0</v>
      </c>
      <c r="D60" s="395">
        <f>+'VENTAS 2021'!G66</f>
        <v>0</v>
      </c>
      <c r="E60" s="394">
        <f>+'VENTAS 2021'!I66</f>
        <v>0</v>
      </c>
      <c r="F60" s="394">
        <f>+'VENTAS 2021'!K66</f>
        <v>0</v>
      </c>
      <c r="G60" s="397">
        <f>+'VENTAS 2021'!L66</f>
        <v>0</v>
      </c>
      <c r="H60" s="681"/>
      <c r="I60" s="430"/>
      <c r="J60" s="430"/>
      <c r="K60" s="398">
        <f>+'VENTAS 2021'!O66</f>
        <v>0</v>
      </c>
      <c r="L60" s="398">
        <f>+'VENTAS 2021'!P66</f>
        <v>0</v>
      </c>
      <c r="M60" s="146" t="s">
        <v>35</v>
      </c>
      <c r="N60" s="51">
        <f>SUM(K56:K60)</f>
        <v>0</v>
      </c>
      <c r="O60" s="149"/>
      <c r="P60" s="571"/>
    </row>
    <row r="61" spans="1:30" s="44" customFormat="1" x14ac:dyDescent="0.25">
      <c r="A61" s="41"/>
      <c r="B61" s="148"/>
      <c r="C61" s="36"/>
      <c r="D61" s="35"/>
      <c r="E61" s="36"/>
      <c r="F61" s="36"/>
      <c r="G61" s="37"/>
      <c r="H61" s="37"/>
      <c r="I61" s="37"/>
      <c r="J61" s="37"/>
      <c r="K61" s="38"/>
      <c r="L61" s="38"/>
      <c r="M61" s="8"/>
      <c r="N61" s="339">
        <f>SUM(N5:N60)</f>
        <v>170209547.94138131</v>
      </c>
      <c r="O61"/>
      <c r="P61" s="576">
        <f>+P12+P14+P23+P40+P43+P45+P50+P55+P60</f>
        <v>16678.792560769944</v>
      </c>
      <c r="Q61"/>
      <c r="R61"/>
      <c r="S61"/>
      <c r="T61"/>
      <c r="U61"/>
      <c r="V61"/>
      <c r="W61"/>
    </row>
    <row r="62" spans="1:30" s="44" customFormat="1" x14ac:dyDescent="0.25">
      <c r="A62"/>
      <c r="B62" s="147"/>
      <c r="C62"/>
      <c r="D62" s="7"/>
      <c r="E62"/>
      <c r="F62"/>
      <c r="G62" s="14">
        <f>SUM(G5:G61)</f>
        <v>1747.1250041871301</v>
      </c>
      <c r="H62" s="429">
        <f>SUM(H5:H61)</f>
        <v>1099486.8253370808</v>
      </c>
      <c r="I62" s="429">
        <f>AVERAGE(I5:I60)</f>
        <v>623.40436755964288</v>
      </c>
      <c r="J62" s="429"/>
      <c r="K62" s="8">
        <f>SUM(K5:K61)</f>
        <v>170209547.94138131</v>
      </c>
      <c r="L62" s="8"/>
      <c r="N62" s="150">
        <f>+N61-K62</f>
        <v>0</v>
      </c>
      <c r="O62" s="151" t="s">
        <v>25</v>
      </c>
      <c r="P62" s="577"/>
      <c r="Q62"/>
      <c r="R62"/>
      <c r="S62"/>
      <c r="T62"/>
      <c r="U62"/>
      <c r="V62"/>
      <c r="W62"/>
    </row>
    <row r="63" spans="1:30" ht="30" x14ac:dyDescent="0.25">
      <c r="A63" s="2"/>
      <c r="D63" s="519" t="s">
        <v>306</v>
      </c>
      <c r="E63" s="520" t="s">
        <v>307</v>
      </c>
      <c r="F63" s="520" t="s">
        <v>404</v>
      </c>
      <c r="G63" s="520" t="s">
        <v>52</v>
      </c>
      <c r="H63" s="520" t="s">
        <v>308</v>
      </c>
      <c r="X63" s="44"/>
      <c r="Y63" s="44"/>
      <c r="Z63" s="44"/>
      <c r="AA63" s="44"/>
      <c r="AB63" s="44"/>
      <c r="AC63" s="44"/>
      <c r="AD63" s="44"/>
    </row>
    <row r="64" spans="1:30" x14ac:dyDescent="0.25">
      <c r="C64" s="518">
        <v>2019</v>
      </c>
      <c r="D64" s="641">
        <f>+'M3 - USD 2019'!D100</f>
        <v>4899.1099999999988</v>
      </c>
      <c r="E64" s="530">
        <f>+'M3 - USD 2019'!E100</f>
        <v>4053383.7701735483</v>
      </c>
      <c r="F64" s="530">
        <f>+'M3 - USD 2019'!K97</f>
        <v>887.50280128649285</v>
      </c>
      <c r="G64" s="531">
        <f>+'M3 - USD 2019'!F100</f>
        <v>222354272.56593472</v>
      </c>
      <c r="H64" s="641">
        <f>+'M3 - USD 2019'!H100</f>
        <v>44004.418971371859</v>
      </c>
      <c r="X64" s="44"/>
      <c r="Y64" s="44"/>
      <c r="Z64" s="44"/>
      <c r="AA64" s="44"/>
      <c r="AB64" s="44"/>
      <c r="AC64" s="44"/>
      <c r="AD64" s="44"/>
    </row>
    <row r="65" spans="3:8" x14ac:dyDescent="0.25">
      <c r="C65" s="518">
        <v>2020</v>
      </c>
      <c r="D65" s="641">
        <f>+'M3 - USD 2020'!D98</f>
        <v>4975.1853996338878</v>
      </c>
      <c r="E65" s="530">
        <f>+'M3 - USD 2020'!E98</f>
        <v>2623457.3110498749</v>
      </c>
      <c r="F65" s="530">
        <f>+'M3 - USD 2020'!F98</f>
        <v>520.07573974214006</v>
      </c>
      <c r="G65" s="531">
        <f>+'M3 - USD 2020'!G98</f>
        <v>334665571.84422845</v>
      </c>
      <c r="H65" s="641">
        <f>+'M3 - USD 2020'!H98</f>
        <v>49395.99816044313</v>
      </c>
    </row>
    <row r="66" spans="3:8" x14ac:dyDescent="0.25">
      <c r="C66" s="518">
        <v>2021</v>
      </c>
      <c r="D66" s="641">
        <f>+G62</f>
        <v>1747.1250041871301</v>
      </c>
      <c r="E66" s="530">
        <f>+H62</f>
        <v>1099486.8253370808</v>
      </c>
      <c r="F66" s="530">
        <f>+I62</f>
        <v>623.40436755964288</v>
      </c>
      <c r="G66" s="531">
        <f>+K62</f>
        <v>170209547.94138131</v>
      </c>
      <c r="H66" s="641">
        <f>+P61</f>
        <v>16678.792560769944</v>
      </c>
    </row>
    <row r="67" spans="3:8" x14ac:dyDescent="0.25">
      <c r="D67"/>
    </row>
    <row r="1048303" spans="1:30" s="1" customFormat="1" x14ac:dyDescent="0.25">
      <c r="A1048303"/>
      <c r="B1048303" s="147"/>
      <c r="C1048303"/>
      <c r="D1048303" s="7"/>
      <c r="E1048303"/>
      <c r="F1048303"/>
      <c r="G1048303"/>
      <c r="H1048303"/>
      <c r="I1048303"/>
      <c r="J1048303"/>
      <c r="K1048303" s="8"/>
      <c r="L1048303" s="8"/>
      <c r="M1048303" s="8"/>
      <c r="N1048303" s="8"/>
      <c r="O1048303"/>
      <c r="P1048303" s="47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</row>
    <row r="1048304" spans="1:30" s="1" customFormat="1" x14ac:dyDescent="0.25">
      <c r="A1048304"/>
      <c r="B1048304" s="147"/>
      <c r="C1048304"/>
      <c r="D1048304" s="7"/>
      <c r="E1048304"/>
      <c r="F1048304"/>
      <c r="G1048304"/>
      <c r="H1048304"/>
      <c r="I1048304"/>
      <c r="J1048304"/>
      <c r="K1048304" s="8"/>
      <c r="L1048304" s="8"/>
      <c r="M1048304" s="8"/>
      <c r="N1048304" s="8"/>
      <c r="O1048304"/>
      <c r="P1048304" s="47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</row>
    <row r="1048305" spans="1:30" s="1" customFormat="1" x14ac:dyDescent="0.25">
      <c r="A1048305"/>
      <c r="B1048305" s="147"/>
      <c r="C1048305"/>
      <c r="D1048305" s="7"/>
      <c r="E1048305"/>
      <c r="F1048305"/>
      <c r="G1048305"/>
      <c r="H1048305"/>
      <c r="I1048305"/>
      <c r="J1048305"/>
      <c r="K1048305" s="8"/>
      <c r="L1048305" s="8"/>
      <c r="M1048305" s="8"/>
      <c r="N1048305" s="8"/>
      <c r="O1048305"/>
      <c r="P1048305" s="47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</row>
    <row r="1048306" spans="1:30" s="1" customFormat="1" x14ac:dyDescent="0.25">
      <c r="A1048306"/>
      <c r="B1048306" s="147"/>
      <c r="C1048306"/>
      <c r="D1048306" s="7"/>
      <c r="E1048306"/>
      <c r="F1048306"/>
      <c r="G1048306"/>
      <c r="H1048306"/>
      <c r="I1048306"/>
      <c r="J1048306"/>
      <c r="K1048306" s="8"/>
      <c r="L1048306" s="8"/>
      <c r="M1048306" s="8"/>
      <c r="N1048306" s="8"/>
      <c r="O1048306"/>
      <c r="P1048306" s="47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</row>
    <row r="1048307" spans="1:30" s="1" customFormat="1" x14ac:dyDescent="0.25">
      <c r="A1048307"/>
      <c r="B1048307" s="147"/>
      <c r="C1048307"/>
      <c r="D1048307" s="7"/>
      <c r="E1048307"/>
      <c r="F1048307"/>
      <c r="G1048307"/>
      <c r="H1048307"/>
      <c r="I1048307"/>
      <c r="J1048307"/>
      <c r="K1048307" s="8"/>
      <c r="L1048307" s="8"/>
      <c r="M1048307" s="8"/>
      <c r="N1048307" s="8"/>
      <c r="O1048307"/>
      <c r="P1048307" s="4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</row>
    <row r="1048308" spans="1:30" s="1" customFormat="1" x14ac:dyDescent="0.25">
      <c r="A1048308"/>
      <c r="B1048308" s="147"/>
      <c r="C1048308"/>
      <c r="D1048308" s="7"/>
      <c r="E1048308"/>
      <c r="F1048308"/>
      <c r="G1048308"/>
      <c r="H1048308"/>
      <c r="I1048308"/>
      <c r="J1048308"/>
      <c r="K1048308" s="8"/>
      <c r="L1048308" s="8"/>
      <c r="M1048308" s="8"/>
      <c r="N1048308" s="8"/>
      <c r="O1048308"/>
      <c r="P1048308" s="47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</row>
    <row r="1048309" spans="1:30" s="1" customFormat="1" x14ac:dyDescent="0.25">
      <c r="A1048309"/>
      <c r="B1048309" s="147"/>
      <c r="C1048309"/>
      <c r="D1048309" s="7"/>
      <c r="E1048309"/>
      <c r="F1048309"/>
      <c r="G1048309"/>
      <c r="H1048309"/>
      <c r="I1048309"/>
      <c r="J1048309"/>
      <c r="K1048309" s="8"/>
      <c r="L1048309" s="8"/>
      <c r="M1048309" s="8"/>
      <c r="N1048309" s="8"/>
      <c r="O1048309"/>
      <c r="P1048309" s="47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</row>
    <row r="1048310" spans="1:30" s="1" customFormat="1" x14ac:dyDescent="0.25">
      <c r="A1048310"/>
      <c r="B1048310" s="147"/>
      <c r="C1048310"/>
      <c r="D1048310" s="7"/>
      <c r="E1048310"/>
      <c r="F1048310"/>
      <c r="G1048310"/>
      <c r="H1048310"/>
      <c r="I1048310"/>
      <c r="J1048310"/>
      <c r="K1048310" s="8"/>
      <c r="L1048310" s="8"/>
      <c r="M1048310" s="8"/>
      <c r="N1048310" s="8"/>
      <c r="O1048310"/>
      <c r="P1048310" s="47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</row>
  </sheetData>
  <autoFilter ref="C4:Q65"/>
  <mergeCells count="8">
    <mergeCell ref="B46:B50"/>
    <mergeCell ref="B51:B55"/>
    <mergeCell ref="B56:B60"/>
    <mergeCell ref="B5:B12"/>
    <mergeCell ref="B13:B14"/>
    <mergeCell ref="B15:B23"/>
    <mergeCell ref="B24:B39"/>
    <mergeCell ref="B40:B45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3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5:AG153"/>
  <sheetViews>
    <sheetView showGridLines="0" zoomScale="85" zoomScaleNormal="85" workbookViewId="0">
      <pane ySplit="8" topLeftCell="A93" activePane="bottomLeft" state="frozen"/>
      <selection pane="bottomLeft" activeCell="M101" sqref="M101"/>
    </sheetView>
  </sheetViews>
  <sheetFormatPr baseColWidth="10" defaultRowHeight="15" x14ac:dyDescent="0.25"/>
  <cols>
    <col min="2" max="2" width="3.5703125" customWidth="1"/>
    <col min="3" max="3" width="4.28515625" customWidth="1"/>
    <col min="4" max="4" width="14.85546875" hidden="1" customWidth="1"/>
    <col min="5" max="5" width="10.42578125" style="154" hidden="1" customWidth="1"/>
    <col min="6" max="6" width="20.28515625" hidden="1" customWidth="1"/>
    <col min="7" max="7" width="23.42578125" customWidth="1"/>
    <col min="8" max="8" width="13.5703125" style="7" customWidth="1"/>
    <col min="9" max="9" width="16" style="7" bestFit="1" customWidth="1"/>
    <col min="10" max="10" width="16" customWidth="1"/>
    <col min="11" max="11" width="17.85546875" customWidth="1"/>
    <col min="12" max="12" width="13.28515625" customWidth="1"/>
    <col min="13" max="13" width="17.28515625" customWidth="1"/>
    <col min="14" max="14" width="16.85546875" customWidth="1"/>
    <col min="15" max="15" width="20.42578125" bestFit="1" customWidth="1"/>
    <col min="16" max="16" width="18" style="8" customWidth="1"/>
    <col min="17" max="17" width="16.28515625" style="8" customWidth="1"/>
    <col min="18" max="18" width="17" style="8" bestFit="1" customWidth="1"/>
    <col min="19" max="19" width="18.5703125" style="372" bestFit="1" customWidth="1"/>
    <col min="20" max="20" width="17.140625" style="172" customWidth="1"/>
    <col min="21" max="22" width="18.28515625" style="172" customWidth="1"/>
    <col min="23" max="23" width="15.5703125" style="172" customWidth="1"/>
    <col min="24" max="24" width="18.5703125" style="172" customWidth="1"/>
    <col min="25" max="27" width="18" style="172" customWidth="1"/>
    <col min="28" max="28" width="16.85546875" style="172" customWidth="1"/>
    <col min="29" max="29" width="19.28515625" style="172" customWidth="1"/>
    <col min="30" max="31" width="18" style="172" customWidth="1"/>
    <col min="32" max="32" width="66.5703125" style="173" bestFit="1" customWidth="1"/>
    <col min="33" max="33" width="11.42578125" customWidth="1"/>
    <col min="37" max="37" width="15.28515625" bestFit="1" customWidth="1"/>
  </cols>
  <sheetData>
    <row r="5" spans="2:32" ht="23.25" x14ac:dyDescent="0.35">
      <c r="G5" s="856" t="s">
        <v>257</v>
      </c>
      <c r="H5" s="856"/>
      <c r="I5" s="856"/>
      <c r="J5" s="856"/>
      <c r="K5" s="856"/>
      <c r="L5" s="856"/>
      <c r="M5" s="856"/>
      <c r="N5" s="856"/>
      <c r="O5" s="856"/>
      <c r="P5" s="856"/>
      <c r="Q5" s="856"/>
      <c r="R5" s="856"/>
      <c r="S5" s="856"/>
      <c r="T5" s="856"/>
      <c r="U5" s="856"/>
      <c r="V5" s="856"/>
      <c r="W5" s="856"/>
      <c r="X5" s="856"/>
      <c r="Y5" s="856"/>
      <c r="Z5" s="856"/>
      <c r="AA5" s="856"/>
      <c r="AB5" s="856"/>
      <c r="AC5" s="856"/>
      <c r="AD5" s="856"/>
      <c r="AE5" s="856"/>
      <c r="AF5" s="856"/>
    </row>
    <row r="6" spans="2:32" ht="15.75" thickBot="1" x14ac:dyDescent="0.3">
      <c r="N6" s="7"/>
      <c r="O6" s="7"/>
    </row>
    <row r="7" spans="2:32" ht="15.75" thickBot="1" x14ac:dyDescent="0.3">
      <c r="B7" s="2"/>
      <c r="C7" s="857" t="s">
        <v>38</v>
      </c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  <c r="P7" s="858"/>
      <c r="Q7" s="858"/>
      <c r="R7" s="858"/>
      <c r="S7" s="541"/>
      <c r="T7" s="353" t="s">
        <v>5</v>
      </c>
      <c r="U7" s="353" t="s">
        <v>10</v>
      </c>
      <c r="V7" s="353" t="s">
        <v>11</v>
      </c>
      <c r="W7" s="353" t="s">
        <v>12</v>
      </c>
      <c r="X7" s="353" t="s">
        <v>15</v>
      </c>
      <c r="Y7" s="353" t="s">
        <v>24</v>
      </c>
      <c r="Z7" s="354" t="s">
        <v>29</v>
      </c>
      <c r="AA7" s="354" t="s">
        <v>30</v>
      </c>
      <c r="AB7" s="353" t="s">
        <v>31</v>
      </c>
      <c r="AC7" s="353" t="s">
        <v>33</v>
      </c>
      <c r="AD7" s="353" t="s">
        <v>34</v>
      </c>
      <c r="AE7" s="354" t="s">
        <v>35</v>
      </c>
      <c r="AF7" s="11"/>
    </row>
    <row r="8" spans="2:32" ht="30.75" thickBot="1" x14ac:dyDescent="0.3">
      <c r="B8" s="2"/>
      <c r="C8" s="180"/>
      <c r="D8" s="145" t="s">
        <v>64</v>
      </c>
      <c r="E8" s="145" t="s">
        <v>62</v>
      </c>
      <c r="F8" s="28" t="s">
        <v>63</v>
      </c>
      <c r="G8" s="28" t="s">
        <v>0</v>
      </c>
      <c r="H8" s="27" t="s">
        <v>37</v>
      </c>
      <c r="I8" s="27" t="s">
        <v>259</v>
      </c>
      <c r="J8" s="28" t="s">
        <v>283</v>
      </c>
      <c r="K8" s="28" t="s">
        <v>258</v>
      </c>
      <c r="L8" s="29" t="s">
        <v>1</v>
      </c>
      <c r="M8" s="30" t="s">
        <v>27</v>
      </c>
      <c r="N8" s="30" t="s">
        <v>282</v>
      </c>
      <c r="O8" s="31" t="s">
        <v>57</v>
      </c>
      <c r="P8" s="31" t="s">
        <v>36</v>
      </c>
      <c r="Q8" s="568" t="s">
        <v>374</v>
      </c>
      <c r="R8" s="373" t="s">
        <v>400</v>
      </c>
      <c r="S8" s="31" t="s">
        <v>7</v>
      </c>
      <c r="T8" s="31" t="s">
        <v>7</v>
      </c>
      <c r="U8" s="31" t="s">
        <v>7</v>
      </c>
      <c r="V8" s="31" t="s">
        <v>7</v>
      </c>
      <c r="W8" s="31" t="s">
        <v>7</v>
      </c>
      <c r="X8" s="31" t="s">
        <v>7</v>
      </c>
      <c r="Y8" s="31" t="s">
        <v>7</v>
      </c>
      <c r="Z8" s="31" t="s">
        <v>7</v>
      </c>
      <c r="AA8" s="31" t="s">
        <v>39</v>
      </c>
      <c r="AB8" s="31" t="s">
        <v>39</v>
      </c>
      <c r="AC8" s="31" t="s">
        <v>39</v>
      </c>
      <c r="AD8" s="31" t="s">
        <v>39</v>
      </c>
      <c r="AE8" s="30" t="s">
        <v>3</v>
      </c>
      <c r="AF8" s="144" t="s">
        <v>28</v>
      </c>
    </row>
    <row r="9" spans="2:32" ht="20.100000000000001" customHeight="1" x14ac:dyDescent="0.25">
      <c r="B9" s="2"/>
      <c r="C9" s="882" t="s">
        <v>5</v>
      </c>
      <c r="D9" s="22" t="s">
        <v>70</v>
      </c>
      <c r="E9" s="181" t="s">
        <v>43</v>
      </c>
      <c r="F9" s="334" t="s">
        <v>71</v>
      </c>
      <c r="G9" s="337" t="s">
        <v>72</v>
      </c>
      <c r="H9" s="274">
        <v>43850</v>
      </c>
      <c r="I9" s="578" t="s">
        <v>375</v>
      </c>
      <c r="J9" s="276" t="s">
        <v>73</v>
      </c>
      <c r="K9" s="276" t="s">
        <v>54</v>
      </c>
      <c r="L9" s="276" t="s">
        <v>14</v>
      </c>
      <c r="M9" s="277">
        <v>50.6</v>
      </c>
      <c r="N9" s="277" t="s">
        <v>280</v>
      </c>
      <c r="O9" s="278">
        <v>3028125</v>
      </c>
      <c r="P9" s="278">
        <f t="shared" ref="P9:P15" si="0">+O9/M9</f>
        <v>59844.367588932808</v>
      </c>
      <c r="Q9" s="308">
        <f>55655*68.25</f>
        <v>3798453.75</v>
      </c>
      <c r="R9" s="371">
        <f>+(O9-Q9)/Q9</f>
        <v>-0.20280061327586257</v>
      </c>
      <c r="S9" s="278">
        <f t="shared" ref="S9:S15" si="1">+O9</f>
        <v>3028125</v>
      </c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310">
        <f t="shared" ref="AE9:AE42" si="2">SUM(S9:AD9)</f>
        <v>3028125</v>
      </c>
      <c r="AF9" s="311" t="s">
        <v>78</v>
      </c>
    </row>
    <row r="10" spans="2:32" ht="20.100000000000001" customHeight="1" x14ac:dyDescent="0.25">
      <c r="B10" s="2"/>
      <c r="C10" s="883"/>
      <c r="D10" s="182" t="s">
        <v>70</v>
      </c>
      <c r="E10" s="159" t="s">
        <v>43</v>
      </c>
      <c r="F10" s="335" t="s">
        <v>71</v>
      </c>
      <c r="G10" s="338" t="s">
        <v>72</v>
      </c>
      <c r="H10" s="279">
        <v>43850</v>
      </c>
      <c r="I10" s="279" t="s">
        <v>375</v>
      </c>
      <c r="J10" s="281" t="s">
        <v>74</v>
      </c>
      <c r="K10" s="281" t="s">
        <v>54</v>
      </c>
      <c r="L10" s="281" t="s">
        <v>6</v>
      </c>
      <c r="M10" s="282">
        <v>45.009</v>
      </c>
      <c r="N10" s="282" t="s">
        <v>280</v>
      </c>
      <c r="O10" s="283">
        <v>2684825.76</v>
      </c>
      <c r="P10" s="283">
        <f t="shared" si="0"/>
        <v>59650.864493767906</v>
      </c>
      <c r="Q10" s="293">
        <v>2897483</v>
      </c>
      <c r="R10" s="374">
        <f>+(O10-Q10)/Q10</f>
        <v>-7.3393783501059448E-2</v>
      </c>
      <c r="S10" s="283">
        <f t="shared" si="1"/>
        <v>2684825.76</v>
      </c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95">
        <f t="shared" si="2"/>
        <v>2684825.76</v>
      </c>
      <c r="AF10" s="312" t="s">
        <v>78</v>
      </c>
    </row>
    <row r="11" spans="2:32" ht="20.100000000000001" customHeight="1" x14ac:dyDescent="0.25">
      <c r="B11" s="2"/>
      <c r="C11" s="883"/>
      <c r="D11" s="182" t="s">
        <v>70</v>
      </c>
      <c r="E11" s="159" t="s">
        <v>43</v>
      </c>
      <c r="F11" s="335" t="s">
        <v>71</v>
      </c>
      <c r="G11" s="338" t="s">
        <v>72</v>
      </c>
      <c r="H11" s="279">
        <v>43850</v>
      </c>
      <c r="I11" s="279" t="s">
        <v>375</v>
      </c>
      <c r="J11" s="281" t="s">
        <v>75</v>
      </c>
      <c r="K11" s="281" t="s">
        <v>54</v>
      </c>
      <c r="L11" s="281" t="s">
        <v>6</v>
      </c>
      <c r="M11" s="282">
        <v>39.24</v>
      </c>
      <c r="N11" s="282" t="s">
        <v>280</v>
      </c>
      <c r="O11" s="283">
        <v>2336495.0699999998</v>
      </c>
      <c r="P11" s="283">
        <f t="shared" si="0"/>
        <v>59543.707186544336</v>
      </c>
      <c r="Q11" s="293">
        <v>2647758</v>
      </c>
      <c r="R11" s="374">
        <f>+(O11-Q11)/Q11</f>
        <v>-0.11755716723356144</v>
      </c>
      <c r="S11" s="283">
        <f t="shared" si="1"/>
        <v>2336495.0699999998</v>
      </c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95">
        <f t="shared" si="2"/>
        <v>2336495.0699999998</v>
      </c>
      <c r="AF11" s="312" t="s">
        <v>78</v>
      </c>
    </row>
    <row r="12" spans="2:32" ht="20.100000000000001" customHeight="1" x14ac:dyDescent="0.25">
      <c r="B12" s="2"/>
      <c r="C12" s="883"/>
      <c r="D12" s="182" t="s">
        <v>70</v>
      </c>
      <c r="E12" s="159" t="s">
        <v>43</v>
      </c>
      <c r="F12" s="335" t="s">
        <v>71</v>
      </c>
      <c r="G12" s="338" t="s">
        <v>72</v>
      </c>
      <c r="H12" s="279">
        <v>43850</v>
      </c>
      <c r="I12" s="279" t="s">
        <v>375</v>
      </c>
      <c r="J12" s="281" t="s">
        <v>76</v>
      </c>
      <c r="K12" s="281" t="s">
        <v>54</v>
      </c>
      <c r="L12" s="281" t="s">
        <v>6</v>
      </c>
      <c r="M12" s="282">
        <v>47.2</v>
      </c>
      <c r="N12" s="282" t="s">
        <v>280</v>
      </c>
      <c r="O12" s="283">
        <v>2810462.98</v>
      </c>
      <c r="P12" s="283">
        <f t="shared" si="0"/>
        <v>59543.707203389829</v>
      </c>
      <c r="Q12" s="293">
        <v>3184867</v>
      </c>
      <c r="R12" s="374">
        <f>+(O12-Q12)/Q12</f>
        <v>-0.11755719155619372</v>
      </c>
      <c r="S12" s="283">
        <f t="shared" si="1"/>
        <v>2810462.98</v>
      </c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95">
        <f t="shared" si="2"/>
        <v>2810462.98</v>
      </c>
      <c r="AF12" s="312" t="s">
        <v>78</v>
      </c>
    </row>
    <row r="13" spans="2:32" ht="20.100000000000001" customHeight="1" x14ac:dyDescent="0.25">
      <c r="B13" s="2"/>
      <c r="C13" s="883"/>
      <c r="D13" s="182" t="s">
        <v>70</v>
      </c>
      <c r="E13" s="159" t="s">
        <v>43</v>
      </c>
      <c r="F13" s="335" t="s">
        <v>71</v>
      </c>
      <c r="G13" s="338" t="s">
        <v>72</v>
      </c>
      <c r="H13" s="279">
        <v>43850</v>
      </c>
      <c r="I13" s="279" t="s">
        <v>375</v>
      </c>
      <c r="J13" s="281" t="s">
        <v>77</v>
      </c>
      <c r="K13" s="281" t="s">
        <v>54</v>
      </c>
      <c r="L13" s="281" t="s">
        <v>6</v>
      </c>
      <c r="M13" s="282">
        <v>46.93</v>
      </c>
      <c r="N13" s="282" t="s">
        <v>280</v>
      </c>
      <c r="O13" s="283">
        <v>2794386.18</v>
      </c>
      <c r="P13" s="283">
        <f t="shared" si="0"/>
        <v>59543.707223524405</v>
      </c>
      <c r="Q13" s="293">
        <v>3015722</v>
      </c>
      <c r="R13" s="374">
        <f>+(O13-Q13)/Q13</f>
        <v>-7.3393973317169098E-2</v>
      </c>
      <c r="S13" s="283">
        <f t="shared" si="1"/>
        <v>2794386.18</v>
      </c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95">
        <f t="shared" si="2"/>
        <v>2794386.18</v>
      </c>
      <c r="AF13" s="312" t="s">
        <v>78</v>
      </c>
    </row>
    <row r="14" spans="2:32" ht="20.100000000000001" customHeight="1" x14ac:dyDescent="0.25">
      <c r="B14" s="2"/>
      <c r="C14" s="883"/>
      <c r="D14" s="182" t="s">
        <v>70</v>
      </c>
      <c r="E14" s="159" t="s">
        <v>43</v>
      </c>
      <c r="F14" s="335" t="s">
        <v>71</v>
      </c>
      <c r="G14" s="338" t="s">
        <v>72</v>
      </c>
      <c r="H14" s="279">
        <v>43850</v>
      </c>
      <c r="I14" s="279" t="s">
        <v>375</v>
      </c>
      <c r="J14" s="281" t="s">
        <v>402</v>
      </c>
      <c r="K14" s="281" t="s">
        <v>55</v>
      </c>
      <c r="L14" s="281" t="s">
        <v>6</v>
      </c>
      <c r="M14" s="282">
        <v>19.43</v>
      </c>
      <c r="N14" s="282" t="s">
        <v>280</v>
      </c>
      <c r="O14" s="283">
        <v>959001.73</v>
      </c>
      <c r="P14" s="283">
        <f t="shared" si="0"/>
        <v>49356.753988677301</v>
      </c>
      <c r="Q14" s="293"/>
      <c r="R14" s="374"/>
      <c r="S14" s="283">
        <f t="shared" si="1"/>
        <v>959001.73</v>
      </c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95">
        <f t="shared" si="2"/>
        <v>959001.73</v>
      </c>
      <c r="AF14" s="312" t="s">
        <v>78</v>
      </c>
    </row>
    <row r="15" spans="2:32" ht="20.100000000000001" customHeight="1" x14ac:dyDescent="0.25">
      <c r="B15" s="2"/>
      <c r="C15" s="883"/>
      <c r="D15" s="182" t="s">
        <v>70</v>
      </c>
      <c r="E15" s="159" t="s">
        <v>43</v>
      </c>
      <c r="F15" s="324" t="s">
        <v>71</v>
      </c>
      <c r="G15" s="332" t="s">
        <v>72</v>
      </c>
      <c r="H15" s="291">
        <v>43850</v>
      </c>
      <c r="I15" s="279" t="s">
        <v>375</v>
      </c>
      <c r="J15" s="280" t="s">
        <v>403</v>
      </c>
      <c r="K15" s="280" t="s">
        <v>55</v>
      </c>
      <c r="L15" s="280" t="s">
        <v>6</v>
      </c>
      <c r="M15" s="292">
        <v>19.43</v>
      </c>
      <c r="N15" s="292" t="s">
        <v>280</v>
      </c>
      <c r="O15" s="293">
        <v>959001.73</v>
      </c>
      <c r="P15" s="293">
        <f t="shared" si="0"/>
        <v>49356.753988677301</v>
      </c>
      <c r="Q15" s="293"/>
      <c r="R15" s="374"/>
      <c r="S15" s="293">
        <f t="shared" si="1"/>
        <v>959001.73</v>
      </c>
      <c r="T15" s="293"/>
      <c r="U15" s="293"/>
      <c r="V15" s="293"/>
      <c r="W15" s="293"/>
      <c r="X15" s="293"/>
      <c r="Y15" s="293"/>
      <c r="Z15" s="293"/>
      <c r="AA15" s="283"/>
      <c r="AB15" s="283"/>
      <c r="AC15" s="283"/>
      <c r="AD15" s="283"/>
      <c r="AE15" s="295">
        <f t="shared" si="2"/>
        <v>959001.73</v>
      </c>
      <c r="AF15" s="312" t="s">
        <v>78</v>
      </c>
    </row>
    <row r="16" spans="2:32" ht="20.100000000000001" customHeight="1" x14ac:dyDescent="0.25">
      <c r="B16" s="2"/>
      <c r="C16" s="883"/>
      <c r="D16" s="182" t="s">
        <v>79</v>
      </c>
      <c r="E16" s="159" t="s">
        <v>43</v>
      </c>
      <c r="F16" s="324" t="s">
        <v>80</v>
      </c>
      <c r="G16" s="332" t="s">
        <v>81</v>
      </c>
      <c r="H16" s="291">
        <v>43859</v>
      </c>
      <c r="I16" s="291" t="s">
        <v>68</v>
      </c>
      <c r="J16" s="280" t="s">
        <v>82</v>
      </c>
      <c r="K16" s="280" t="s">
        <v>54</v>
      </c>
      <c r="L16" s="280" t="s">
        <v>9</v>
      </c>
      <c r="M16" s="292">
        <v>113.07</v>
      </c>
      <c r="N16" s="292" t="s">
        <v>281</v>
      </c>
      <c r="O16" s="293">
        <v>8045580</v>
      </c>
      <c r="P16" s="293">
        <v>71155.744229238524</v>
      </c>
      <c r="Q16" s="293">
        <v>6329203</v>
      </c>
      <c r="R16" s="375">
        <f>+(O16-Q16)/Q16</f>
        <v>0.27118374935991152</v>
      </c>
      <c r="S16" s="293">
        <v>350000</v>
      </c>
      <c r="T16" s="293"/>
      <c r="U16" s="293"/>
      <c r="V16" s="293"/>
      <c r="W16" s="293"/>
      <c r="X16" s="293"/>
      <c r="Y16" s="293"/>
      <c r="Z16" s="293"/>
      <c r="AA16" s="283"/>
      <c r="AB16" s="283"/>
      <c r="AC16" s="283"/>
      <c r="AD16" s="283"/>
      <c r="AE16" s="295">
        <f t="shared" si="2"/>
        <v>350000</v>
      </c>
      <c r="AF16" s="312" t="s">
        <v>83</v>
      </c>
    </row>
    <row r="17" spans="2:32" ht="20.100000000000001" customHeight="1" x14ac:dyDescent="0.25">
      <c r="B17" s="2"/>
      <c r="C17" s="883"/>
      <c r="D17" s="182" t="s">
        <v>79</v>
      </c>
      <c r="E17" s="159" t="s">
        <v>43</v>
      </c>
      <c r="F17" s="324" t="s">
        <v>80</v>
      </c>
      <c r="G17" s="332" t="s">
        <v>81</v>
      </c>
      <c r="H17" s="291">
        <v>43859</v>
      </c>
      <c r="I17" s="291" t="s">
        <v>68</v>
      </c>
      <c r="J17" s="280" t="s">
        <v>84</v>
      </c>
      <c r="K17" s="280" t="s">
        <v>55</v>
      </c>
      <c r="L17" s="280" t="s">
        <v>9</v>
      </c>
      <c r="M17" s="292">
        <v>20.66</v>
      </c>
      <c r="N17" s="292" t="s">
        <v>281</v>
      </c>
      <c r="O17" s="293">
        <v>1060996</v>
      </c>
      <c r="P17" s="293">
        <v>51355.082284607939</v>
      </c>
      <c r="Q17" s="293"/>
      <c r="R17" s="375"/>
      <c r="S17" s="293">
        <v>70425</v>
      </c>
      <c r="T17" s="293"/>
      <c r="U17" s="293"/>
      <c r="V17" s="293"/>
      <c r="W17" s="293"/>
      <c r="X17" s="293"/>
      <c r="Y17" s="293"/>
      <c r="Z17" s="293"/>
      <c r="AA17" s="283"/>
      <c r="AB17" s="283"/>
      <c r="AC17" s="283"/>
      <c r="AD17" s="283"/>
      <c r="AE17" s="295">
        <f t="shared" si="2"/>
        <v>70425</v>
      </c>
      <c r="AF17" s="312" t="s">
        <v>88</v>
      </c>
    </row>
    <row r="18" spans="2:32" ht="20.100000000000001" customHeight="1" x14ac:dyDescent="0.25">
      <c r="B18" s="2"/>
      <c r="C18" s="883"/>
      <c r="D18" s="182" t="s">
        <v>79</v>
      </c>
      <c r="E18" s="159" t="s">
        <v>43</v>
      </c>
      <c r="F18" s="324" t="s">
        <v>85</v>
      </c>
      <c r="G18" s="332" t="s">
        <v>86</v>
      </c>
      <c r="H18" s="291">
        <v>43859</v>
      </c>
      <c r="I18" s="291" t="s">
        <v>68</v>
      </c>
      <c r="J18" s="280" t="s">
        <v>87</v>
      </c>
      <c r="K18" s="280" t="s">
        <v>54</v>
      </c>
      <c r="L18" s="280" t="s">
        <v>9</v>
      </c>
      <c r="M18" s="292">
        <v>47.77</v>
      </c>
      <c r="N18" s="292" t="s">
        <v>281</v>
      </c>
      <c r="O18" s="293">
        <v>2857695</v>
      </c>
      <c r="P18" s="293">
        <f>+O18/M18</f>
        <v>59821.959388737698</v>
      </c>
      <c r="Q18" s="293">
        <v>2563482</v>
      </c>
      <c r="R18" s="375">
        <f t="shared" ref="R18:R24" si="3">+(O18-Q18)/Q18</f>
        <v>0.1147708468403523</v>
      </c>
      <c r="S18" s="293">
        <v>300000</v>
      </c>
      <c r="T18" s="293"/>
      <c r="U18" s="293"/>
      <c r="V18" s="293"/>
      <c r="W18" s="293"/>
      <c r="X18" s="293"/>
      <c r="Y18" s="293"/>
      <c r="Z18" s="293"/>
      <c r="AA18" s="283"/>
      <c r="AB18" s="283"/>
      <c r="AC18" s="283"/>
      <c r="AD18" s="283"/>
      <c r="AE18" s="295">
        <f t="shared" si="2"/>
        <v>300000</v>
      </c>
      <c r="AF18" s="312" t="s">
        <v>89</v>
      </c>
    </row>
    <row r="19" spans="2:32" ht="20.100000000000001" customHeight="1" thickBot="1" x14ac:dyDescent="0.3">
      <c r="B19" s="2"/>
      <c r="C19" s="884"/>
      <c r="D19" s="557" t="s">
        <v>419</v>
      </c>
      <c r="E19" s="558" t="s">
        <v>43</v>
      </c>
      <c r="F19" s="336"/>
      <c r="G19" s="333" t="s">
        <v>94</v>
      </c>
      <c r="H19" s="233">
        <v>43859</v>
      </c>
      <c r="I19" s="233" t="s">
        <v>60</v>
      </c>
      <c r="J19" s="232" t="s">
        <v>95</v>
      </c>
      <c r="K19" s="232" t="s">
        <v>54</v>
      </c>
      <c r="L19" s="232" t="s">
        <v>6</v>
      </c>
      <c r="M19" s="234">
        <v>46.93</v>
      </c>
      <c r="N19" s="234" t="s">
        <v>280</v>
      </c>
      <c r="O19" s="229">
        <v>3015722</v>
      </c>
      <c r="P19" s="229">
        <f>+O19/M19</f>
        <v>64260.004261666312</v>
      </c>
      <c r="Q19" s="229">
        <v>3015722</v>
      </c>
      <c r="R19" s="559">
        <f t="shared" si="3"/>
        <v>0</v>
      </c>
      <c r="S19" s="229">
        <f>+O19</f>
        <v>3015722</v>
      </c>
      <c r="T19" s="229"/>
      <c r="U19" s="229"/>
      <c r="V19" s="229"/>
      <c r="W19" s="229"/>
      <c r="X19" s="229"/>
      <c r="Y19" s="229"/>
      <c r="Z19" s="229"/>
      <c r="AA19" s="235"/>
      <c r="AB19" s="235"/>
      <c r="AC19" s="235"/>
      <c r="AD19" s="235"/>
      <c r="AE19" s="236">
        <f t="shared" si="2"/>
        <v>3015722</v>
      </c>
      <c r="AF19" s="313" t="s">
        <v>96</v>
      </c>
    </row>
    <row r="20" spans="2:32" ht="51" customHeight="1" thickBot="1" x14ac:dyDescent="0.3">
      <c r="B20" s="2"/>
      <c r="C20" s="184" t="s">
        <v>10</v>
      </c>
      <c r="D20" s="555" t="s">
        <v>97</v>
      </c>
      <c r="E20" s="556" t="s">
        <v>43</v>
      </c>
      <c r="F20" s="208" t="s">
        <v>90</v>
      </c>
      <c r="G20" s="40" t="s">
        <v>91</v>
      </c>
      <c r="H20" s="325">
        <v>43872</v>
      </c>
      <c r="I20" s="325" t="s">
        <v>68</v>
      </c>
      <c r="J20" s="40" t="s">
        <v>92</v>
      </c>
      <c r="K20" s="40" t="s">
        <v>54</v>
      </c>
      <c r="L20" s="40" t="s">
        <v>6</v>
      </c>
      <c r="M20" s="326">
        <v>39.24</v>
      </c>
      <c r="N20" s="326" t="s">
        <v>280</v>
      </c>
      <c r="O20" s="327">
        <f>30500*77</f>
        <v>2348500</v>
      </c>
      <c r="P20" s="567">
        <f>+O20/M20</f>
        <v>59849.643221202852</v>
      </c>
      <c r="Q20" s="567">
        <v>2673598</v>
      </c>
      <c r="R20" s="376">
        <f t="shared" si="3"/>
        <v>-0.12159569239653829</v>
      </c>
      <c r="S20" s="328"/>
      <c r="T20" s="327">
        <f>+O20</f>
        <v>2348500</v>
      </c>
      <c r="U20" s="327"/>
      <c r="V20" s="327"/>
      <c r="W20" s="327"/>
      <c r="X20" s="327"/>
      <c r="Y20" s="327"/>
      <c r="Z20" s="327"/>
      <c r="AA20" s="142"/>
      <c r="AB20" s="142"/>
      <c r="AC20" s="142"/>
      <c r="AD20" s="142"/>
      <c r="AE20" s="215">
        <f t="shared" si="2"/>
        <v>2348500</v>
      </c>
      <c r="AF20" s="329" t="s">
        <v>93</v>
      </c>
    </row>
    <row r="21" spans="2:32" ht="24.95" customHeight="1" x14ac:dyDescent="0.25">
      <c r="B21" s="2"/>
      <c r="C21" s="885" t="s">
        <v>11</v>
      </c>
      <c r="D21" s="32" t="s">
        <v>97</v>
      </c>
      <c r="E21" s="188" t="s">
        <v>43</v>
      </c>
      <c r="F21" s="323" t="s">
        <v>90</v>
      </c>
      <c r="G21" s="330" t="s">
        <v>91</v>
      </c>
      <c r="H21" s="306">
        <v>43894</v>
      </c>
      <c r="I21" s="306" t="s">
        <v>68</v>
      </c>
      <c r="J21" s="275" t="s">
        <v>98</v>
      </c>
      <c r="K21" s="275" t="s">
        <v>54</v>
      </c>
      <c r="L21" s="275" t="s">
        <v>6</v>
      </c>
      <c r="M21" s="307">
        <v>39.24</v>
      </c>
      <c r="N21" s="307" t="s">
        <v>280</v>
      </c>
      <c r="O21" s="308">
        <f>28000*77.5</f>
        <v>2170000</v>
      </c>
      <c r="P21" s="410">
        <f>O21/M21</f>
        <v>55300.713557594288</v>
      </c>
      <c r="Q21" s="410">
        <v>2727191</v>
      </c>
      <c r="R21" s="377">
        <f t="shared" si="3"/>
        <v>-0.20430948914102459</v>
      </c>
      <c r="S21" s="308"/>
      <c r="T21" s="308"/>
      <c r="U21" s="308">
        <f>+O21</f>
        <v>2170000</v>
      </c>
      <c r="V21" s="308"/>
      <c r="W21" s="308"/>
      <c r="X21" s="308"/>
      <c r="Y21" s="308"/>
      <c r="Z21" s="308"/>
      <c r="AA21" s="278"/>
      <c r="AB21" s="278"/>
      <c r="AC21" s="278"/>
      <c r="AD21" s="278"/>
      <c r="AE21" s="310">
        <f t="shared" si="2"/>
        <v>2170000</v>
      </c>
      <c r="AF21" s="311" t="s">
        <v>99</v>
      </c>
    </row>
    <row r="22" spans="2:32" ht="24.95" customHeight="1" x14ac:dyDescent="0.25">
      <c r="B22" s="2"/>
      <c r="C22" s="886"/>
      <c r="D22" s="197" t="s">
        <v>97</v>
      </c>
      <c r="E22" s="186" t="s">
        <v>43</v>
      </c>
      <c r="F22" s="324" t="s">
        <v>90</v>
      </c>
      <c r="G22" s="331" t="s">
        <v>101</v>
      </c>
      <c r="H22" s="291">
        <v>43894</v>
      </c>
      <c r="I22" s="291" t="s">
        <v>68</v>
      </c>
      <c r="J22" s="280" t="s">
        <v>102</v>
      </c>
      <c r="K22" s="280" t="s">
        <v>54</v>
      </c>
      <c r="L22" s="280" t="s">
        <v>6</v>
      </c>
      <c r="M22" s="292">
        <v>39.24</v>
      </c>
      <c r="N22" s="292" t="s">
        <v>280</v>
      </c>
      <c r="O22" s="293">
        <f>28000*77.5</f>
        <v>2170000</v>
      </c>
      <c r="P22" s="293">
        <f>O22/M22</f>
        <v>55300.713557594288</v>
      </c>
      <c r="Q22" s="293">
        <v>2727191</v>
      </c>
      <c r="R22" s="411">
        <f t="shared" si="3"/>
        <v>-0.20430948914102459</v>
      </c>
      <c r="S22" s="293"/>
      <c r="T22" s="293"/>
      <c r="U22" s="293">
        <f>+O22</f>
        <v>2170000</v>
      </c>
      <c r="V22" s="293"/>
      <c r="W22" s="293"/>
      <c r="X22" s="293"/>
      <c r="Y22" s="293"/>
      <c r="Z22" s="293"/>
      <c r="AA22" s="283"/>
      <c r="AB22" s="283"/>
      <c r="AC22" s="283"/>
      <c r="AD22" s="283"/>
      <c r="AE22" s="295">
        <f t="shared" si="2"/>
        <v>2170000</v>
      </c>
      <c r="AF22" s="312" t="s">
        <v>100</v>
      </c>
    </row>
    <row r="23" spans="2:32" ht="24.95" customHeight="1" x14ac:dyDescent="0.25">
      <c r="B23" s="2"/>
      <c r="C23" s="886"/>
      <c r="D23" s="197" t="s">
        <v>97</v>
      </c>
      <c r="E23" s="159" t="s">
        <v>43</v>
      </c>
      <c r="F23" s="324" t="s">
        <v>90</v>
      </c>
      <c r="G23" s="332" t="s">
        <v>108</v>
      </c>
      <c r="H23" s="291">
        <v>43901</v>
      </c>
      <c r="I23" s="291" t="s">
        <v>68</v>
      </c>
      <c r="J23" s="280" t="s">
        <v>104</v>
      </c>
      <c r="K23" s="280" t="s">
        <v>54</v>
      </c>
      <c r="L23" s="280" t="s">
        <v>6</v>
      </c>
      <c r="M23" s="292">
        <v>39.24</v>
      </c>
      <c r="N23" s="292" t="s">
        <v>280</v>
      </c>
      <c r="O23" s="293">
        <f>28000*78.5</f>
        <v>2198000</v>
      </c>
      <c r="P23" s="293">
        <f>O23/M23</f>
        <v>56014.271151885827</v>
      </c>
      <c r="Q23" s="293">
        <v>2727191</v>
      </c>
      <c r="R23" s="411">
        <f t="shared" si="3"/>
        <v>-0.1940425148073604</v>
      </c>
      <c r="S23" s="293"/>
      <c r="T23" s="293"/>
      <c r="U23" s="293">
        <v>2198000</v>
      </c>
      <c r="V23" s="293"/>
      <c r="W23" s="293"/>
      <c r="X23" s="293"/>
      <c r="Y23" s="293"/>
      <c r="Z23" s="293"/>
      <c r="AA23" s="283"/>
      <c r="AB23" s="283"/>
      <c r="AC23" s="283"/>
      <c r="AD23" s="283"/>
      <c r="AE23" s="295">
        <f t="shared" si="2"/>
        <v>2198000</v>
      </c>
      <c r="AF23" s="312" t="s">
        <v>106</v>
      </c>
    </row>
    <row r="24" spans="2:32" ht="24.95" customHeight="1" x14ac:dyDescent="0.25">
      <c r="B24" s="2"/>
      <c r="C24" s="886"/>
      <c r="D24" s="560" t="s">
        <v>79</v>
      </c>
      <c r="E24" s="561" t="s">
        <v>43</v>
      </c>
      <c r="F24" s="562" t="s">
        <v>85</v>
      </c>
      <c r="G24" s="408" t="s">
        <v>103</v>
      </c>
      <c r="H24" s="343">
        <v>43901</v>
      </c>
      <c r="I24" s="343" t="s">
        <v>68</v>
      </c>
      <c r="J24" s="342" t="s">
        <v>105</v>
      </c>
      <c r="K24" s="342" t="s">
        <v>54</v>
      </c>
      <c r="L24" s="342" t="s">
        <v>8</v>
      </c>
      <c r="M24" s="344">
        <v>67.7</v>
      </c>
      <c r="N24" s="344" t="s">
        <v>281</v>
      </c>
      <c r="O24" s="345">
        <v>3659844.4176596506</v>
      </c>
      <c r="P24" s="345">
        <f>O24/M24</f>
        <v>54059.740290393653</v>
      </c>
      <c r="Q24" s="345">
        <v>3360628</v>
      </c>
      <c r="R24" s="383">
        <f t="shared" si="3"/>
        <v>8.903586402888107E-2</v>
      </c>
      <c r="S24" s="345"/>
      <c r="T24" s="345"/>
      <c r="U24" s="345">
        <v>1000000</v>
      </c>
      <c r="V24" s="345"/>
      <c r="W24" s="345"/>
      <c r="X24" s="345"/>
      <c r="Y24" s="345"/>
      <c r="Z24" s="345"/>
      <c r="AA24" s="347"/>
      <c r="AB24" s="347"/>
      <c r="AC24" s="347"/>
      <c r="AD24" s="347"/>
      <c r="AE24" s="348">
        <f t="shared" si="2"/>
        <v>1000000</v>
      </c>
      <c r="AF24" s="349" t="s">
        <v>107</v>
      </c>
    </row>
    <row r="25" spans="2:32" ht="24.95" customHeight="1" x14ac:dyDescent="0.25">
      <c r="B25" s="2"/>
      <c r="C25" s="887" t="s">
        <v>15</v>
      </c>
      <c r="D25" s="563" t="s">
        <v>70</v>
      </c>
      <c r="E25" s="19" t="s">
        <v>43</v>
      </c>
      <c r="F25" s="33" t="s">
        <v>71</v>
      </c>
      <c r="G25" s="33" t="s">
        <v>111</v>
      </c>
      <c r="H25" s="564">
        <v>43964</v>
      </c>
      <c r="I25" s="564" t="s">
        <v>68</v>
      </c>
      <c r="J25" s="33" t="s">
        <v>112</v>
      </c>
      <c r="K25" s="33" t="s">
        <v>54</v>
      </c>
      <c r="L25" s="33" t="s">
        <v>6</v>
      </c>
      <c r="M25" s="565">
        <v>39.24</v>
      </c>
      <c r="N25" s="565" t="s">
        <v>280</v>
      </c>
      <c r="O25" s="298">
        <f>20000*120</f>
        <v>2400000</v>
      </c>
      <c r="P25" s="298">
        <f t="shared" ref="P25:P33" si="4">O25/M25</f>
        <v>61162.079510703363</v>
      </c>
      <c r="Q25" s="298">
        <v>2916947</v>
      </c>
      <c r="R25" s="381">
        <f t="shared" ref="R25:R41" si="5">+(O25-Q25)/Q25</f>
        <v>-0.1772219378686003</v>
      </c>
      <c r="S25" s="298"/>
      <c r="T25" s="298"/>
      <c r="U25" s="298"/>
      <c r="V25" s="298"/>
      <c r="W25" s="298">
        <f t="shared" ref="W25:W31" si="6">+O25</f>
        <v>2400000</v>
      </c>
      <c r="X25" s="298"/>
      <c r="Y25" s="298"/>
      <c r="Z25" s="298"/>
      <c r="AA25" s="43"/>
      <c r="AB25" s="43"/>
      <c r="AC25" s="43"/>
      <c r="AD25" s="43"/>
      <c r="AE25" s="478">
        <f t="shared" si="2"/>
        <v>2400000</v>
      </c>
      <c r="AF25" s="566" t="s">
        <v>114</v>
      </c>
    </row>
    <row r="26" spans="2:32" ht="24.95" customHeight="1" x14ac:dyDescent="0.25">
      <c r="B26" s="2"/>
      <c r="C26" s="887"/>
      <c r="D26" s="221" t="s">
        <v>70</v>
      </c>
      <c r="E26" s="222" t="s">
        <v>43</v>
      </c>
      <c r="F26" s="223" t="s">
        <v>71</v>
      </c>
      <c r="G26" s="223" t="s">
        <v>111</v>
      </c>
      <c r="H26" s="224">
        <v>43964</v>
      </c>
      <c r="I26" s="224" t="s">
        <v>68</v>
      </c>
      <c r="J26" s="223" t="s">
        <v>113</v>
      </c>
      <c r="K26" s="223" t="s">
        <v>54</v>
      </c>
      <c r="L26" s="223" t="s">
        <v>6</v>
      </c>
      <c r="M26" s="225">
        <v>39.24</v>
      </c>
      <c r="N26" s="225" t="s">
        <v>280</v>
      </c>
      <c r="O26" s="226">
        <f>20000*120</f>
        <v>2400000</v>
      </c>
      <c r="P26" s="226">
        <f t="shared" si="4"/>
        <v>61162.079510703363</v>
      </c>
      <c r="Q26" s="226">
        <v>2859625</v>
      </c>
      <c r="R26" s="380">
        <f t="shared" si="5"/>
        <v>-0.16072911657997116</v>
      </c>
      <c r="S26" s="226"/>
      <c r="T26" s="226"/>
      <c r="U26" s="226"/>
      <c r="V26" s="226"/>
      <c r="W26" s="226">
        <f t="shared" si="6"/>
        <v>2400000</v>
      </c>
      <c r="X26" s="226"/>
      <c r="Y26" s="226"/>
      <c r="Z26" s="226"/>
      <c r="AA26" s="49"/>
      <c r="AB26" s="49"/>
      <c r="AC26" s="49"/>
      <c r="AD26" s="49"/>
      <c r="AE26" s="204">
        <f t="shared" si="2"/>
        <v>2400000</v>
      </c>
      <c r="AF26" s="227" t="s">
        <v>114</v>
      </c>
    </row>
    <row r="27" spans="2:32" ht="24.95" customHeight="1" x14ac:dyDescent="0.25">
      <c r="B27" s="2"/>
      <c r="C27" s="887"/>
      <c r="D27" s="221" t="s">
        <v>70</v>
      </c>
      <c r="E27" s="222" t="s">
        <v>43</v>
      </c>
      <c r="F27" s="223" t="s">
        <v>71</v>
      </c>
      <c r="G27" s="223" t="s">
        <v>115</v>
      </c>
      <c r="H27" s="224">
        <v>43965</v>
      </c>
      <c r="I27" s="224" t="s">
        <v>68</v>
      </c>
      <c r="J27" s="223" t="s">
        <v>116</v>
      </c>
      <c r="K27" s="223" t="s">
        <v>54</v>
      </c>
      <c r="L27" s="223" t="s">
        <v>6</v>
      </c>
      <c r="M27" s="225">
        <v>38.99</v>
      </c>
      <c r="N27" s="225" t="s">
        <v>280</v>
      </c>
      <c r="O27" s="226">
        <f>20000*130</f>
        <v>2600000</v>
      </c>
      <c r="P27" s="226">
        <f t="shared" si="4"/>
        <v>66683.765067966146</v>
      </c>
      <c r="Q27" s="226">
        <v>2898363</v>
      </c>
      <c r="R27" s="381">
        <f t="shared" si="5"/>
        <v>-0.10294190203228512</v>
      </c>
      <c r="S27" s="226"/>
      <c r="T27" s="226"/>
      <c r="U27" s="226"/>
      <c r="V27" s="226"/>
      <c r="W27" s="226">
        <f t="shared" si="6"/>
        <v>2600000</v>
      </c>
      <c r="X27" s="226"/>
      <c r="Y27" s="226"/>
      <c r="Z27" s="226"/>
      <c r="AA27" s="49"/>
      <c r="AB27" s="49"/>
      <c r="AC27" s="49"/>
      <c r="AD27" s="49"/>
      <c r="AE27" s="204">
        <f t="shared" si="2"/>
        <v>2600000</v>
      </c>
      <c r="AF27" s="227" t="s">
        <v>118</v>
      </c>
    </row>
    <row r="28" spans="2:32" ht="24.95" customHeight="1" x14ac:dyDescent="0.25">
      <c r="B28" s="2"/>
      <c r="C28" s="887"/>
      <c r="D28" s="221" t="s">
        <v>70</v>
      </c>
      <c r="E28" s="222" t="s">
        <v>43</v>
      </c>
      <c r="F28" s="223" t="s">
        <v>90</v>
      </c>
      <c r="G28" s="223" t="s">
        <v>119</v>
      </c>
      <c r="H28" s="224">
        <v>43969</v>
      </c>
      <c r="I28" s="224" t="s">
        <v>375</v>
      </c>
      <c r="J28" s="223" t="s">
        <v>120</v>
      </c>
      <c r="K28" s="223" t="s">
        <v>54</v>
      </c>
      <c r="L28" s="223" t="s">
        <v>4</v>
      </c>
      <c r="M28" s="225">
        <v>47.77</v>
      </c>
      <c r="N28" s="225" t="s">
        <v>280</v>
      </c>
      <c r="O28" s="226">
        <f>24306.4847894338*127</f>
        <v>3086923.5682580927</v>
      </c>
      <c r="P28" s="226">
        <f t="shared" si="4"/>
        <v>64620.54779690376</v>
      </c>
      <c r="Q28" s="226">
        <v>3736936</v>
      </c>
      <c r="R28" s="380">
        <f t="shared" si="5"/>
        <v>-0.17394261816148504</v>
      </c>
      <c r="S28" s="226"/>
      <c r="T28" s="226"/>
      <c r="U28" s="226"/>
      <c r="V28" s="226"/>
      <c r="W28" s="226">
        <f t="shared" si="6"/>
        <v>3086923.5682580927</v>
      </c>
      <c r="X28" s="226"/>
      <c r="Y28" s="226"/>
      <c r="Z28" s="226"/>
      <c r="AA28" s="49"/>
      <c r="AB28" s="49"/>
      <c r="AC28" s="49"/>
      <c r="AD28" s="49"/>
      <c r="AE28" s="204">
        <f t="shared" si="2"/>
        <v>3086923.5682580927</v>
      </c>
      <c r="AF28" s="227" t="s">
        <v>117</v>
      </c>
    </row>
    <row r="29" spans="2:32" ht="24.95" customHeight="1" x14ac:dyDescent="0.25">
      <c r="B29" s="2"/>
      <c r="C29" s="887"/>
      <c r="D29" s="221" t="s">
        <v>70</v>
      </c>
      <c r="E29" s="222" t="s">
        <v>43</v>
      </c>
      <c r="F29" s="223" t="s">
        <v>90</v>
      </c>
      <c r="G29" s="223" t="s">
        <v>119</v>
      </c>
      <c r="H29" s="224">
        <v>43969</v>
      </c>
      <c r="I29" s="224" t="s">
        <v>375</v>
      </c>
      <c r="J29" s="223" t="s">
        <v>121</v>
      </c>
      <c r="K29" s="223" t="s">
        <v>54</v>
      </c>
      <c r="L29" s="223" t="s">
        <v>4</v>
      </c>
      <c r="M29" s="225">
        <v>41.43</v>
      </c>
      <c r="N29" s="225" t="s">
        <v>280</v>
      </c>
      <c r="O29" s="226">
        <f>21080.5456316986*127</f>
        <v>2677229.2952257218</v>
      </c>
      <c r="P29" s="226">
        <f t="shared" si="4"/>
        <v>64620.547796903738</v>
      </c>
      <c r="Q29" s="226">
        <v>3240973</v>
      </c>
      <c r="R29" s="380">
        <f t="shared" si="5"/>
        <v>-0.17394273410308517</v>
      </c>
      <c r="S29" s="226"/>
      <c r="T29" s="226"/>
      <c r="U29" s="226"/>
      <c r="V29" s="226"/>
      <c r="W29" s="226">
        <f t="shared" si="6"/>
        <v>2677229.2952257218</v>
      </c>
      <c r="X29" s="226"/>
      <c r="Y29" s="226"/>
      <c r="Z29" s="226"/>
      <c r="AA29" s="49"/>
      <c r="AB29" s="49"/>
      <c r="AC29" s="49"/>
      <c r="AD29" s="49"/>
      <c r="AE29" s="204">
        <f t="shared" si="2"/>
        <v>2677229.2952257218</v>
      </c>
      <c r="AF29" s="227" t="s">
        <v>117</v>
      </c>
    </row>
    <row r="30" spans="2:32" ht="24.95" customHeight="1" x14ac:dyDescent="0.25">
      <c r="B30" s="2"/>
      <c r="C30" s="887"/>
      <c r="D30" s="221" t="s">
        <v>70</v>
      </c>
      <c r="E30" s="222" t="s">
        <v>43</v>
      </c>
      <c r="F30" s="223" t="s">
        <v>90</v>
      </c>
      <c r="G30" s="223" t="s">
        <v>119</v>
      </c>
      <c r="H30" s="224">
        <v>43969</v>
      </c>
      <c r="I30" s="224" t="s">
        <v>375</v>
      </c>
      <c r="J30" s="223" t="s">
        <v>122</v>
      </c>
      <c r="K30" s="223" t="s">
        <v>54</v>
      </c>
      <c r="L30" s="223" t="s">
        <v>4</v>
      </c>
      <c r="M30" s="225">
        <v>47.77</v>
      </c>
      <c r="N30" s="225" t="s">
        <v>280</v>
      </c>
      <c r="O30" s="226">
        <f>24306.4847894338*127</f>
        <v>3086923.5682580927</v>
      </c>
      <c r="P30" s="226">
        <f t="shared" si="4"/>
        <v>64620.54779690376</v>
      </c>
      <c r="Q30" s="226">
        <v>3736936</v>
      </c>
      <c r="R30" s="380">
        <f t="shared" si="5"/>
        <v>-0.17394261816148504</v>
      </c>
      <c r="S30" s="226"/>
      <c r="T30" s="226"/>
      <c r="U30" s="226"/>
      <c r="V30" s="226"/>
      <c r="W30" s="226">
        <f t="shared" si="6"/>
        <v>3086923.5682580927</v>
      </c>
      <c r="X30" s="226"/>
      <c r="Y30" s="226"/>
      <c r="Z30" s="226"/>
      <c r="AA30" s="49"/>
      <c r="AB30" s="49"/>
      <c r="AC30" s="49"/>
      <c r="AD30" s="49"/>
      <c r="AE30" s="204">
        <f t="shared" si="2"/>
        <v>3086923.5682580927</v>
      </c>
      <c r="AF30" s="227" t="s">
        <v>117</v>
      </c>
    </row>
    <row r="31" spans="2:32" ht="24.95" customHeight="1" x14ac:dyDescent="0.25">
      <c r="B31" s="2"/>
      <c r="C31" s="887"/>
      <c r="D31" s="221" t="s">
        <v>70</v>
      </c>
      <c r="E31" s="222" t="s">
        <v>43</v>
      </c>
      <c r="F31" s="223" t="s">
        <v>90</v>
      </c>
      <c r="G31" s="223" t="s">
        <v>119</v>
      </c>
      <c r="H31" s="224">
        <v>43969</v>
      </c>
      <c r="I31" s="224" t="s">
        <v>375</v>
      </c>
      <c r="J31" s="223" t="s">
        <v>123</v>
      </c>
      <c r="K31" s="223" t="s">
        <v>54</v>
      </c>
      <c r="L31" s="223" t="s">
        <v>4</v>
      </c>
      <c r="M31" s="225">
        <v>47.77</v>
      </c>
      <c r="N31" s="225" t="s">
        <v>280</v>
      </c>
      <c r="O31" s="226">
        <f>24306.4847894338*127</f>
        <v>3086923.5682580927</v>
      </c>
      <c r="P31" s="226">
        <f t="shared" si="4"/>
        <v>64620.54779690376</v>
      </c>
      <c r="Q31" s="226">
        <v>3736936</v>
      </c>
      <c r="R31" s="382">
        <f t="shared" si="5"/>
        <v>-0.17394261816148504</v>
      </c>
      <c r="S31" s="226"/>
      <c r="T31" s="226"/>
      <c r="U31" s="226"/>
      <c r="V31" s="226"/>
      <c r="W31" s="226">
        <f t="shared" si="6"/>
        <v>3086923.5682580927</v>
      </c>
      <c r="X31" s="226"/>
      <c r="Y31" s="226"/>
      <c r="Z31" s="226"/>
      <c r="AA31" s="49"/>
      <c r="AB31" s="49"/>
      <c r="AC31" s="49"/>
      <c r="AD31" s="49"/>
      <c r="AE31" s="204">
        <f t="shared" si="2"/>
        <v>3086923.5682580927</v>
      </c>
      <c r="AF31" s="227" t="s">
        <v>117</v>
      </c>
    </row>
    <row r="32" spans="2:32" ht="24.95" customHeight="1" x14ac:dyDescent="0.25">
      <c r="B32" s="2"/>
      <c r="C32" s="887"/>
      <c r="D32" s="221" t="s">
        <v>79</v>
      </c>
      <c r="E32" s="222" t="s">
        <v>43</v>
      </c>
      <c r="F32" s="223" t="s">
        <v>85</v>
      </c>
      <c r="G32" s="223" t="s">
        <v>126</v>
      </c>
      <c r="H32" s="224">
        <v>43973</v>
      </c>
      <c r="I32" s="224" t="s">
        <v>68</v>
      </c>
      <c r="J32" s="223" t="s">
        <v>180</v>
      </c>
      <c r="K32" s="223" t="s">
        <v>54</v>
      </c>
      <c r="L32" s="223" t="s">
        <v>6</v>
      </c>
      <c r="M32" s="225">
        <v>75.67</v>
      </c>
      <c r="N32" s="225" t="s">
        <v>280</v>
      </c>
      <c r="O32" s="226">
        <v>4789797.4229873102</v>
      </c>
      <c r="P32" s="226">
        <f t="shared" si="4"/>
        <v>63298.499048332364</v>
      </c>
      <c r="Q32" s="226">
        <v>5254877</v>
      </c>
      <c r="R32" s="380">
        <f t="shared" si="5"/>
        <v>-8.850436975264879E-2</v>
      </c>
      <c r="S32" s="226"/>
      <c r="T32" s="226"/>
      <c r="U32" s="226"/>
      <c r="V32" s="226"/>
      <c r="W32" s="226">
        <v>3000000</v>
      </c>
      <c r="X32" s="226"/>
      <c r="Y32" s="226"/>
      <c r="Z32" s="226"/>
      <c r="AA32" s="49"/>
      <c r="AB32" s="49"/>
      <c r="AC32" s="49"/>
      <c r="AD32" s="49"/>
      <c r="AE32" s="204">
        <f>SUM(S32:AD32)</f>
        <v>3000000</v>
      </c>
      <c r="AF32" s="227" t="s">
        <v>239</v>
      </c>
    </row>
    <row r="33" spans="2:32" ht="24.95" customHeight="1" thickBot="1" x14ac:dyDescent="0.3">
      <c r="B33" s="2"/>
      <c r="C33" s="216"/>
      <c r="D33" s="317" t="s">
        <v>79</v>
      </c>
      <c r="E33" s="318" t="s">
        <v>43</v>
      </c>
      <c r="F33" s="301" t="s">
        <v>85</v>
      </c>
      <c r="G33" s="301" t="s">
        <v>126</v>
      </c>
      <c r="H33" s="302">
        <v>43973</v>
      </c>
      <c r="I33" s="302" t="s">
        <v>68</v>
      </c>
      <c r="J33" s="301" t="s">
        <v>373</v>
      </c>
      <c r="K33" s="301" t="s">
        <v>54</v>
      </c>
      <c r="L33" s="301" t="s">
        <v>6</v>
      </c>
      <c r="M33" s="303">
        <v>78.52</v>
      </c>
      <c r="N33" s="303" t="s">
        <v>280</v>
      </c>
      <c r="O33" s="304">
        <v>4970197.9770126902</v>
      </c>
      <c r="P33" s="304">
        <f t="shared" si="4"/>
        <v>63298.496905408691</v>
      </c>
      <c r="Q33" s="226">
        <v>5452795</v>
      </c>
      <c r="R33" s="376">
        <f t="shared" si="5"/>
        <v>-8.8504523457659759E-2</v>
      </c>
      <c r="S33" s="304"/>
      <c r="T33" s="304"/>
      <c r="U33" s="304"/>
      <c r="V33" s="304"/>
      <c r="W33" s="304">
        <v>3009995</v>
      </c>
      <c r="X33" s="304"/>
      <c r="Y33" s="304"/>
      <c r="Z33" s="304"/>
      <c r="AA33" s="305"/>
      <c r="AB33" s="305"/>
      <c r="AC33" s="305"/>
      <c r="AD33" s="305"/>
      <c r="AE33" s="300">
        <f t="shared" si="2"/>
        <v>3009995</v>
      </c>
      <c r="AF33" s="320" t="s">
        <v>239</v>
      </c>
    </row>
    <row r="34" spans="2:32" ht="24.95" customHeight="1" x14ac:dyDescent="0.25">
      <c r="B34" s="2"/>
      <c r="C34" s="859" t="s">
        <v>24</v>
      </c>
      <c r="D34" s="322" t="s">
        <v>79</v>
      </c>
      <c r="E34" s="276" t="s">
        <v>43</v>
      </c>
      <c r="F34" s="275" t="s">
        <v>85</v>
      </c>
      <c r="G34" s="275" t="s">
        <v>127</v>
      </c>
      <c r="H34" s="306">
        <v>43983</v>
      </c>
      <c r="I34" s="306" t="s">
        <v>68</v>
      </c>
      <c r="J34" s="275" t="s">
        <v>128</v>
      </c>
      <c r="K34" s="275" t="s">
        <v>54</v>
      </c>
      <c r="L34" s="275" t="s">
        <v>6</v>
      </c>
      <c r="M34" s="307">
        <v>45.09</v>
      </c>
      <c r="N34" s="307" t="s">
        <v>281</v>
      </c>
      <c r="O34" s="308">
        <v>3196233</v>
      </c>
      <c r="P34" s="308">
        <f t="shared" ref="P34:P51" si="7">O34/M34</f>
        <v>70885.628742514964</v>
      </c>
      <c r="Q34" s="293">
        <v>3192061</v>
      </c>
      <c r="R34" s="687">
        <f t="shared" si="5"/>
        <v>1.3069925668713724E-3</v>
      </c>
      <c r="S34" s="309"/>
      <c r="T34" s="308"/>
      <c r="U34" s="308"/>
      <c r="V34" s="308"/>
      <c r="W34" s="308"/>
      <c r="X34" s="308">
        <v>1600000</v>
      </c>
      <c r="Y34" s="308"/>
      <c r="Z34" s="308"/>
      <c r="AA34" s="278"/>
      <c r="AB34" s="278"/>
      <c r="AC34" s="278"/>
      <c r="AD34" s="278"/>
      <c r="AE34" s="310">
        <f t="shared" si="2"/>
        <v>1600000</v>
      </c>
      <c r="AF34" s="311" t="s">
        <v>130</v>
      </c>
    </row>
    <row r="35" spans="2:32" ht="24.95" customHeight="1" x14ac:dyDescent="0.25">
      <c r="B35" s="2"/>
      <c r="C35" s="860"/>
      <c r="D35" s="321" t="s">
        <v>79</v>
      </c>
      <c r="E35" s="281" t="s">
        <v>43</v>
      </c>
      <c r="F35" s="280" t="s">
        <v>85</v>
      </c>
      <c r="G35" s="280" t="s">
        <v>127</v>
      </c>
      <c r="H35" s="291">
        <v>43983</v>
      </c>
      <c r="I35" s="291" t="s">
        <v>68</v>
      </c>
      <c r="J35" s="280" t="s">
        <v>129</v>
      </c>
      <c r="K35" s="280" t="s">
        <v>54</v>
      </c>
      <c r="L35" s="280" t="s">
        <v>6</v>
      </c>
      <c r="M35" s="292">
        <v>45.09</v>
      </c>
      <c r="N35" s="292" t="s">
        <v>281</v>
      </c>
      <c r="O35" s="293">
        <v>3196233</v>
      </c>
      <c r="P35" s="293">
        <f t="shared" si="7"/>
        <v>70885.628742514964</v>
      </c>
      <c r="Q35" s="293">
        <v>3192061</v>
      </c>
      <c r="R35" s="688">
        <f t="shared" si="5"/>
        <v>1.3069925668713724E-3</v>
      </c>
      <c r="S35" s="294"/>
      <c r="T35" s="293"/>
      <c r="U35" s="293"/>
      <c r="V35" s="293"/>
      <c r="W35" s="293"/>
      <c r="X35" s="293">
        <v>1600000</v>
      </c>
      <c r="Y35" s="293"/>
      <c r="Z35" s="293"/>
      <c r="AA35" s="283"/>
      <c r="AB35" s="283"/>
      <c r="AC35" s="283"/>
      <c r="AD35" s="283"/>
      <c r="AE35" s="295">
        <f t="shared" si="2"/>
        <v>1600000</v>
      </c>
      <c r="AF35" s="312" t="s">
        <v>130</v>
      </c>
    </row>
    <row r="36" spans="2:32" ht="24.95" customHeight="1" x14ac:dyDescent="0.25">
      <c r="B36" s="2"/>
      <c r="C36" s="860"/>
      <c r="D36" s="321" t="s">
        <v>70</v>
      </c>
      <c r="E36" s="281" t="s">
        <v>43</v>
      </c>
      <c r="F36" s="280" t="s">
        <v>85</v>
      </c>
      <c r="G36" s="280" t="s">
        <v>229</v>
      </c>
      <c r="H36" s="291">
        <v>43985</v>
      </c>
      <c r="I36" s="291" t="s">
        <v>375</v>
      </c>
      <c r="J36" s="280" t="s">
        <v>226</v>
      </c>
      <c r="K36" s="280" t="s">
        <v>54</v>
      </c>
      <c r="L36" s="280" t="s">
        <v>6</v>
      </c>
      <c r="M36" s="292">
        <v>45.09</v>
      </c>
      <c r="N36" s="292" t="s">
        <v>280</v>
      </c>
      <c r="O36" s="293">
        <v>2908305</v>
      </c>
      <c r="P36" s="293">
        <f t="shared" si="7"/>
        <v>64499.999999999993</v>
      </c>
      <c r="Q36" s="293">
        <v>3307960</v>
      </c>
      <c r="R36" s="375">
        <f t="shared" si="5"/>
        <v>-0.12081615255323523</v>
      </c>
      <c r="S36" s="294"/>
      <c r="T36" s="293"/>
      <c r="U36" s="293"/>
      <c r="V36" s="293"/>
      <c r="W36" s="293"/>
      <c r="X36" s="293">
        <f>+O36</f>
        <v>2908305</v>
      </c>
      <c r="Y36" s="293"/>
      <c r="Z36" s="293"/>
      <c r="AA36" s="283"/>
      <c r="AB36" s="283"/>
      <c r="AC36" s="283"/>
      <c r="AD36" s="283"/>
      <c r="AE36" s="295">
        <f t="shared" si="2"/>
        <v>2908305</v>
      </c>
      <c r="AF36" s="312" t="s">
        <v>230</v>
      </c>
    </row>
    <row r="37" spans="2:32" ht="24.95" customHeight="1" x14ac:dyDescent="0.25">
      <c r="B37" s="2"/>
      <c r="C37" s="860"/>
      <c r="D37" s="321" t="s">
        <v>70</v>
      </c>
      <c r="E37" s="281" t="s">
        <v>43</v>
      </c>
      <c r="F37" s="280" t="s">
        <v>85</v>
      </c>
      <c r="G37" s="280" t="s">
        <v>229</v>
      </c>
      <c r="H37" s="291">
        <v>43985</v>
      </c>
      <c r="I37" s="291" t="s">
        <v>375</v>
      </c>
      <c r="J37" s="280" t="s">
        <v>122</v>
      </c>
      <c r="K37" s="280" t="s">
        <v>54</v>
      </c>
      <c r="L37" s="280" t="s">
        <v>6</v>
      </c>
      <c r="M37" s="292">
        <v>45.09</v>
      </c>
      <c r="N37" s="292" t="s">
        <v>280</v>
      </c>
      <c r="O37" s="293">
        <v>2908305</v>
      </c>
      <c r="P37" s="293">
        <f t="shared" si="7"/>
        <v>64499.999999999993</v>
      </c>
      <c r="Q37" s="293">
        <v>3307960</v>
      </c>
      <c r="R37" s="375">
        <f t="shared" si="5"/>
        <v>-0.12081615255323523</v>
      </c>
      <c r="S37" s="294"/>
      <c r="T37" s="293"/>
      <c r="U37" s="293"/>
      <c r="V37" s="293"/>
      <c r="W37" s="293"/>
      <c r="X37" s="293">
        <f>+O37</f>
        <v>2908305</v>
      </c>
      <c r="Y37" s="293"/>
      <c r="Z37" s="293"/>
      <c r="AA37" s="283"/>
      <c r="AB37" s="283"/>
      <c r="AC37" s="283"/>
      <c r="AD37" s="283"/>
      <c r="AE37" s="295">
        <f t="shared" si="2"/>
        <v>2908305</v>
      </c>
      <c r="AF37" s="312" t="s">
        <v>230</v>
      </c>
    </row>
    <row r="38" spans="2:32" ht="24.95" customHeight="1" x14ac:dyDescent="0.25">
      <c r="B38" s="2"/>
      <c r="C38" s="860"/>
      <c r="D38" s="321" t="s">
        <v>70</v>
      </c>
      <c r="E38" s="281" t="s">
        <v>43</v>
      </c>
      <c r="F38" s="280" t="s">
        <v>85</v>
      </c>
      <c r="G38" s="280" t="s">
        <v>229</v>
      </c>
      <c r="H38" s="291">
        <v>43985</v>
      </c>
      <c r="I38" s="291" t="s">
        <v>375</v>
      </c>
      <c r="J38" s="280" t="s">
        <v>227</v>
      </c>
      <c r="K38" s="280" t="s">
        <v>54</v>
      </c>
      <c r="L38" s="280" t="s">
        <v>6</v>
      </c>
      <c r="M38" s="292">
        <v>45.09</v>
      </c>
      <c r="N38" s="292" t="s">
        <v>280</v>
      </c>
      <c r="O38" s="293">
        <v>2908305</v>
      </c>
      <c r="P38" s="293">
        <f t="shared" si="7"/>
        <v>64499.999999999993</v>
      </c>
      <c r="Q38" s="293">
        <v>3307960</v>
      </c>
      <c r="R38" s="375">
        <f t="shared" si="5"/>
        <v>-0.12081615255323523</v>
      </c>
      <c r="S38" s="294"/>
      <c r="T38" s="293"/>
      <c r="U38" s="293"/>
      <c r="V38" s="293"/>
      <c r="W38" s="293"/>
      <c r="X38" s="293">
        <f>+O38</f>
        <v>2908305</v>
      </c>
      <c r="Y38" s="293"/>
      <c r="Z38" s="293"/>
      <c r="AA38" s="283"/>
      <c r="AB38" s="283"/>
      <c r="AC38" s="283"/>
      <c r="AD38" s="283"/>
      <c r="AE38" s="295">
        <f t="shared" si="2"/>
        <v>2908305</v>
      </c>
      <c r="AF38" s="312" t="s">
        <v>230</v>
      </c>
    </row>
    <row r="39" spans="2:32" ht="24.95" customHeight="1" x14ac:dyDescent="0.25">
      <c r="B39" s="2"/>
      <c r="C39" s="860"/>
      <c r="D39" s="321" t="s">
        <v>70</v>
      </c>
      <c r="E39" s="281" t="s">
        <v>43</v>
      </c>
      <c r="F39" s="280" t="s">
        <v>85</v>
      </c>
      <c r="G39" s="280" t="s">
        <v>229</v>
      </c>
      <c r="H39" s="291">
        <v>43985</v>
      </c>
      <c r="I39" s="291" t="s">
        <v>375</v>
      </c>
      <c r="J39" s="280" t="s">
        <v>228</v>
      </c>
      <c r="K39" s="280" t="s">
        <v>54</v>
      </c>
      <c r="L39" s="280" t="s">
        <v>6</v>
      </c>
      <c r="M39" s="292">
        <v>45.09</v>
      </c>
      <c r="N39" s="292" t="s">
        <v>280</v>
      </c>
      <c r="O39" s="293">
        <v>2908305</v>
      </c>
      <c r="P39" s="293">
        <f t="shared" si="7"/>
        <v>64499.999999999993</v>
      </c>
      <c r="Q39" s="293">
        <v>3307960</v>
      </c>
      <c r="R39" s="375">
        <f t="shared" si="5"/>
        <v>-0.12081615255323523</v>
      </c>
      <c r="S39" s="294"/>
      <c r="T39" s="293"/>
      <c r="U39" s="293"/>
      <c r="V39" s="293"/>
      <c r="W39" s="293"/>
      <c r="X39" s="293">
        <f>+O39</f>
        <v>2908305</v>
      </c>
      <c r="Y39" s="293"/>
      <c r="Z39" s="293"/>
      <c r="AA39" s="283"/>
      <c r="AB39" s="283"/>
      <c r="AC39" s="283"/>
      <c r="AD39" s="283"/>
      <c r="AE39" s="295">
        <f t="shared" si="2"/>
        <v>2908305</v>
      </c>
      <c r="AF39" s="312" t="s">
        <v>230</v>
      </c>
    </row>
    <row r="40" spans="2:32" ht="24.95" customHeight="1" x14ac:dyDescent="0.25">
      <c r="B40" s="2"/>
      <c r="C40" s="860"/>
      <c r="D40" s="321" t="s">
        <v>70</v>
      </c>
      <c r="E40" s="281" t="s">
        <v>43</v>
      </c>
      <c r="F40" s="280" t="s">
        <v>85</v>
      </c>
      <c r="G40" s="280" t="s">
        <v>231</v>
      </c>
      <c r="H40" s="291">
        <v>43985</v>
      </c>
      <c r="I40" s="291" t="s">
        <v>68</v>
      </c>
      <c r="J40" s="280" t="s">
        <v>166</v>
      </c>
      <c r="K40" s="280" t="s">
        <v>54</v>
      </c>
      <c r="L40" s="280" t="s">
        <v>6</v>
      </c>
      <c r="M40" s="292">
        <v>39.24</v>
      </c>
      <c r="N40" s="292" t="s">
        <v>280</v>
      </c>
      <c r="O40" s="293">
        <f>21800*123</f>
        <v>2681400</v>
      </c>
      <c r="P40" s="293">
        <f t="shared" si="7"/>
        <v>68333.333333333328</v>
      </c>
      <c r="Q40" s="293">
        <v>3022857</v>
      </c>
      <c r="R40" s="375">
        <f t="shared" si="5"/>
        <v>-0.11295837017761674</v>
      </c>
      <c r="S40" s="294"/>
      <c r="T40" s="293"/>
      <c r="U40" s="293"/>
      <c r="V40" s="293"/>
      <c r="W40" s="293"/>
      <c r="X40" s="293">
        <f>+O40</f>
        <v>2681400</v>
      </c>
      <c r="Y40" s="293"/>
      <c r="Z40" s="293"/>
      <c r="AA40" s="283"/>
      <c r="AB40" s="283"/>
      <c r="AC40" s="283"/>
      <c r="AD40" s="283"/>
      <c r="AE40" s="295">
        <f t="shared" si="2"/>
        <v>2681400</v>
      </c>
      <c r="AF40" s="312" t="s">
        <v>232</v>
      </c>
    </row>
    <row r="41" spans="2:32" ht="24.95" customHeight="1" x14ac:dyDescent="0.25">
      <c r="B41" s="2"/>
      <c r="C41" s="860"/>
      <c r="D41" s="321" t="s">
        <v>235</v>
      </c>
      <c r="E41" s="281" t="s">
        <v>43</v>
      </c>
      <c r="F41" s="280" t="s">
        <v>90</v>
      </c>
      <c r="G41" s="280" t="s">
        <v>233</v>
      </c>
      <c r="H41" s="291">
        <v>43986</v>
      </c>
      <c r="I41" s="291" t="s">
        <v>68</v>
      </c>
      <c r="J41" s="280" t="s">
        <v>194</v>
      </c>
      <c r="K41" s="280" t="s">
        <v>54</v>
      </c>
      <c r="L41" s="280" t="s">
        <v>6</v>
      </c>
      <c r="M41" s="292">
        <v>45.09</v>
      </c>
      <c r="N41" s="292" t="s">
        <v>281</v>
      </c>
      <c r="O41" s="293">
        <v>3323073</v>
      </c>
      <c r="P41" s="293">
        <f t="shared" si="7"/>
        <v>73698.669328010641</v>
      </c>
      <c r="Q41" s="293">
        <v>3192061</v>
      </c>
      <c r="R41" s="375">
        <f t="shared" si="5"/>
        <v>4.1043075304638604E-2</v>
      </c>
      <c r="S41" s="294"/>
      <c r="T41" s="293"/>
      <c r="U41" s="293"/>
      <c r="V41" s="293"/>
      <c r="W41" s="293"/>
      <c r="X41" s="293">
        <v>1350000</v>
      </c>
      <c r="Y41" s="293"/>
      <c r="Z41" s="293"/>
      <c r="AA41" s="283"/>
      <c r="AB41" s="283"/>
      <c r="AC41" s="283"/>
      <c r="AD41" s="283"/>
      <c r="AE41" s="295">
        <f t="shared" si="2"/>
        <v>1350000</v>
      </c>
      <c r="AF41" s="312" t="s">
        <v>234</v>
      </c>
    </row>
    <row r="42" spans="2:32" ht="24.95" customHeight="1" x14ac:dyDescent="0.25">
      <c r="B42" s="2"/>
      <c r="C42" s="860"/>
      <c r="D42" s="321" t="s">
        <v>235</v>
      </c>
      <c r="E42" s="281" t="s">
        <v>43</v>
      </c>
      <c r="F42" s="280" t="s">
        <v>90</v>
      </c>
      <c r="G42" s="280" t="s">
        <v>233</v>
      </c>
      <c r="H42" s="291">
        <v>43986</v>
      </c>
      <c r="I42" s="291" t="s">
        <v>68</v>
      </c>
      <c r="J42" s="280" t="s">
        <v>236</v>
      </c>
      <c r="K42" s="280" t="s">
        <v>55</v>
      </c>
      <c r="L42" s="280" t="s">
        <v>6</v>
      </c>
      <c r="M42" s="292">
        <v>19.43</v>
      </c>
      <c r="N42" s="292" t="s">
        <v>281</v>
      </c>
      <c r="O42" s="293">
        <v>1062163</v>
      </c>
      <c r="P42" s="293">
        <f t="shared" si="7"/>
        <v>54666.134843026251</v>
      </c>
      <c r="Q42" s="293"/>
      <c r="R42" s="375"/>
      <c r="S42" s="294"/>
      <c r="T42" s="293"/>
      <c r="U42" s="293"/>
      <c r="V42" s="293"/>
      <c r="W42" s="293"/>
      <c r="X42" s="293">
        <v>500000</v>
      </c>
      <c r="Y42" s="293"/>
      <c r="Z42" s="293"/>
      <c r="AA42" s="283"/>
      <c r="AB42" s="283"/>
      <c r="AC42" s="283"/>
      <c r="AD42" s="283"/>
      <c r="AE42" s="295">
        <f t="shared" si="2"/>
        <v>500000</v>
      </c>
      <c r="AF42" s="312" t="s">
        <v>234</v>
      </c>
    </row>
    <row r="43" spans="2:32" ht="24.95" customHeight="1" x14ac:dyDescent="0.25">
      <c r="B43" s="2"/>
      <c r="C43" s="860"/>
      <c r="D43" s="321" t="s">
        <v>97</v>
      </c>
      <c r="E43" s="281" t="s">
        <v>43</v>
      </c>
      <c r="F43" s="280" t="s">
        <v>90</v>
      </c>
      <c r="G43" s="280" t="s">
        <v>237</v>
      </c>
      <c r="H43" s="291">
        <v>43987</v>
      </c>
      <c r="I43" s="291" t="s">
        <v>68</v>
      </c>
      <c r="J43" s="280" t="s">
        <v>185</v>
      </c>
      <c r="K43" s="280" t="s">
        <v>54</v>
      </c>
      <c r="L43" s="280" t="s">
        <v>6</v>
      </c>
      <c r="M43" s="292">
        <v>45.09</v>
      </c>
      <c r="N43" s="292" t="s">
        <v>281</v>
      </c>
      <c r="O43" s="293">
        <v>3156300</v>
      </c>
      <c r="P43" s="293">
        <f t="shared" si="7"/>
        <v>70000</v>
      </c>
      <c r="Q43" s="293">
        <v>3307960</v>
      </c>
      <c r="R43" s="375">
        <f t="shared" ref="R43:R74" si="8">+(O43-Q43)/Q43</f>
        <v>-4.5846987267076991E-2</v>
      </c>
      <c r="S43" s="294"/>
      <c r="T43" s="293"/>
      <c r="U43" s="293"/>
      <c r="V43" s="293"/>
      <c r="W43" s="293"/>
      <c r="X43" s="293">
        <f>13000*125.5+3000*135+700000</f>
        <v>2736500</v>
      </c>
      <c r="Y43" s="293"/>
      <c r="Z43" s="293"/>
      <c r="AA43" s="283"/>
      <c r="AB43" s="283"/>
      <c r="AC43" s="283"/>
      <c r="AD43" s="283"/>
      <c r="AE43" s="295">
        <f>SUM(S43:AD43)</f>
        <v>2736500</v>
      </c>
      <c r="AF43" s="312" t="s">
        <v>238</v>
      </c>
    </row>
    <row r="44" spans="2:32" ht="24.95" customHeight="1" x14ac:dyDescent="0.25">
      <c r="B44" s="2"/>
      <c r="C44" s="860"/>
      <c r="D44" s="321" t="s">
        <v>242</v>
      </c>
      <c r="E44" s="281" t="s">
        <v>43</v>
      </c>
      <c r="F44" s="280" t="s">
        <v>90</v>
      </c>
      <c r="G44" s="280" t="s">
        <v>240</v>
      </c>
      <c r="H44" s="291">
        <v>43994</v>
      </c>
      <c r="I44" s="291" t="s">
        <v>68</v>
      </c>
      <c r="J44" s="280" t="s">
        <v>122</v>
      </c>
      <c r="K44" s="280" t="s">
        <v>54</v>
      </c>
      <c r="L44" s="280" t="s">
        <v>9</v>
      </c>
      <c r="M44" s="292">
        <v>64.680000000000007</v>
      </c>
      <c r="N44" s="292" t="s">
        <v>281</v>
      </c>
      <c r="O44" s="293">
        <v>5024742</v>
      </c>
      <c r="P44" s="293">
        <f t="shared" si="7"/>
        <v>77686.178107606669</v>
      </c>
      <c r="Q44" s="293">
        <v>4216901</v>
      </c>
      <c r="R44" s="375">
        <f t="shared" si="8"/>
        <v>0.1915721995844816</v>
      </c>
      <c r="S44" s="294"/>
      <c r="T44" s="293"/>
      <c r="U44" s="293"/>
      <c r="V44" s="293"/>
      <c r="W44" s="293"/>
      <c r="X44" s="293">
        <v>700000</v>
      </c>
      <c r="Y44" s="293"/>
      <c r="Z44" s="293"/>
      <c r="AA44" s="283"/>
      <c r="AB44" s="283"/>
      <c r="AC44" s="283"/>
      <c r="AD44" s="283"/>
      <c r="AE44" s="295">
        <f>SUM(S44:AD44)</f>
        <v>700000</v>
      </c>
      <c r="AF44" s="312" t="s">
        <v>241</v>
      </c>
    </row>
    <row r="45" spans="2:32" ht="24.95" customHeight="1" thickBot="1" x14ac:dyDescent="0.3">
      <c r="B45" s="2"/>
      <c r="C45" s="860"/>
      <c r="D45" s="340" t="s">
        <v>79</v>
      </c>
      <c r="E45" s="341" t="s">
        <v>43</v>
      </c>
      <c r="F45" s="342" t="s">
        <v>85</v>
      </c>
      <c r="G45" s="342" t="s">
        <v>245</v>
      </c>
      <c r="H45" s="343">
        <v>44001</v>
      </c>
      <c r="I45" s="343" t="s">
        <v>68</v>
      </c>
      <c r="J45" s="342" t="s">
        <v>243</v>
      </c>
      <c r="K45" s="342" t="s">
        <v>54</v>
      </c>
      <c r="L45" s="342" t="s">
        <v>6</v>
      </c>
      <c r="M45" s="344">
        <v>78.52</v>
      </c>
      <c r="N45" s="344" t="s">
        <v>280</v>
      </c>
      <c r="O45" s="229">
        <v>5725682</v>
      </c>
      <c r="P45" s="229">
        <f t="shared" si="7"/>
        <v>72920.045848191541</v>
      </c>
      <c r="Q45" s="229">
        <v>5964252</v>
      </c>
      <c r="R45" s="383">
        <f t="shared" si="8"/>
        <v>-3.9999986586750524E-2</v>
      </c>
      <c r="S45" s="346"/>
      <c r="T45" s="345"/>
      <c r="U45" s="345"/>
      <c r="V45" s="345"/>
      <c r="W45" s="345"/>
      <c r="X45" s="345">
        <v>3000000</v>
      </c>
      <c r="Y45" s="345">
        <f>+O45-X45</f>
        <v>2725682</v>
      </c>
      <c r="Z45" s="345"/>
      <c r="AA45" s="347"/>
      <c r="AB45" s="347"/>
      <c r="AC45" s="347"/>
      <c r="AD45" s="347"/>
      <c r="AE45" s="348">
        <f>SUM(S45:AD45)</f>
        <v>5725682</v>
      </c>
      <c r="AF45" s="349" t="s">
        <v>244</v>
      </c>
    </row>
    <row r="46" spans="2:32" s="296" customFormat="1" ht="24.95" customHeight="1" thickBot="1" x14ac:dyDescent="0.3">
      <c r="B46" s="297"/>
      <c r="C46" s="889" t="s">
        <v>29</v>
      </c>
      <c r="D46" s="350" t="s">
        <v>79</v>
      </c>
      <c r="E46" s="341" t="s">
        <v>43</v>
      </c>
      <c r="F46" s="356" t="s">
        <v>85</v>
      </c>
      <c r="G46" s="357" t="s">
        <v>246</v>
      </c>
      <c r="H46" s="201">
        <v>44013</v>
      </c>
      <c r="I46" s="201" t="s">
        <v>68</v>
      </c>
      <c r="J46" s="200" t="s">
        <v>247</v>
      </c>
      <c r="K46" s="200" t="s">
        <v>54</v>
      </c>
      <c r="L46" s="200" t="s">
        <v>6</v>
      </c>
      <c r="M46" s="202">
        <v>46.93</v>
      </c>
      <c r="N46" s="202" t="s">
        <v>280</v>
      </c>
      <c r="O46" s="298">
        <v>3524926</v>
      </c>
      <c r="P46" s="298">
        <f t="shared" si="7"/>
        <v>75110.291924142337</v>
      </c>
      <c r="Q46" s="298">
        <v>3633945</v>
      </c>
      <c r="R46" s="379">
        <f t="shared" si="8"/>
        <v>-3.0000178868970225E-2</v>
      </c>
      <c r="S46" s="203"/>
      <c r="T46" s="203"/>
      <c r="U46" s="203"/>
      <c r="V46" s="203"/>
      <c r="W46" s="203"/>
      <c r="X46" s="203"/>
      <c r="Y46" s="203">
        <f>+O46</f>
        <v>3524926</v>
      </c>
      <c r="Z46" s="203"/>
      <c r="AA46" s="203"/>
      <c r="AB46" s="203"/>
      <c r="AC46" s="203"/>
      <c r="AD46" s="203"/>
      <c r="AE46" s="358">
        <f t="shared" ref="AE46:AE94" si="9">SUM(S46:AD46)</f>
        <v>3524926</v>
      </c>
      <c r="AF46" s="351" t="s">
        <v>248</v>
      </c>
    </row>
    <row r="47" spans="2:32" s="296" customFormat="1" ht="24.95" customHeight="1" thickBot="1" x14ac:dyDescent="0.3">
      <c r="B47" s="297"/>
      <c r="C47" s="890"/>
      <c r="D47" s="319" t="s">
        <v>70</v>
      </c>
      <c r="E47" s="341" t="s">
        <v>43</v>
      </c>
      <c r="F47" s="356" t="s">
        <v>85</v>
      </c>
      <c r="G47" s="359" t="s">
        <v>249</v>
      </c>
      <c r="H47" s="224">
        <v>44014</v>
      </c>
      <c r="I47" s="224" t="s">
        <v>68</v>
      </c>
      <c r="J47" s="223" t="s">
        <v>250</v>
      </c>
      <c r="K47" s="223" t="s">
        <v>54</v>
      </c>
      <c r="L47" s="223" t="s">
        <v>6</v>
      </c>
      <c r="M47" s="225">
        <v>46.93</v>
      </c>
      <c r="N47" s="225" t="s">
        <v>281</v>
      </c>
      <c r="O47" s="226">
        <f>27766*124</f>
        <v>3442984</v>
      </c>
      <c r="P47" s="226">
        <f t="shared" si="7"/>
        <v>73364.244619646284</v>
      </c>
      <c r="Q47" s="226">
        <v>3442949</v>
      </c>
      <c r="R47" s="380">
        <f t="shared" si="8"/>
        <v>1.0165703877693222E-5</v>
      </c>
      <c r="S47" s="226"/>
      <c r="T47" s="226"/>
      <c r="U47" s="226"/>
      <c r="V47" s="226"/>
      <c r="W47" s="226"/>
      <c r="X47" s="226"/>
      <c r="Y47" s="226">
        <f>(12000+7350)*124</f>
        <v>2399400</v>
      </c>
      <c r="Z47" s="226"/>
      <c r="AA47" s="226"/>
      <c r="AB47" s="226"/>
      <c r="AC47" s="226"/>
      <c r="AD47" s="226"/>
      <c r="AE47" s="204">
        <f t="shared" si="9"/>
        <v>2399400</v>
      </c>
      <c r="AF47" s="360" t="s">
        <v>251</v>
      </c>
    </row>
    <row r="48" spans="2:32" s="296" customFormat="1" ht="24.95" customHeight="1" thickBot="1" x14ac:dyDescent="0.3">
      <c r="B48" s="297"/>
      <c r="C48" s="890"/>
      <c r="D48" s="352" t="s">
        <v>79</v>
      </c>
      <c r="E48" s="341" t="s">
        <v>43</v>
      </c>
      <c r="F48" s="356" t="s">
        <v>85</v>
      </c>
      <c r="G48" s="359" t="s">
        <v>252</v>
      </c>
      <c r="H48" s="224">
        <v>44029</v>
      </c>
      <c r="I48" s="224" t="s">
        <v>68</v>
      </c>
      <c r="J48" s="223" t="s">
        <v>253</v>
      </c>
      <c r="K48" s="223" t="s">
        <v>54</v>
      </c>
      <c r="L48" s="223" t="s">
        <v>6</v>
      </c>
      <c r="M48" s="225">
        <v>47.2</v>
      </c>
      <c r="N48" s="225" t="s">
        <v>281</v>
      </c>
      <c r="O48" s="226">
        <v>3864886</v>
      </c>
      <c r="P48" s="226">
        <f t="shared" si="7"/>
        <v>81883.177966101692</v>
      </c>
      <c r="Q48" s="226">
        <v>3762347</v>
      </c>
      <c r="R48" s="380">
        <f t="shared" si="8"/>
        <v>2.7253998634363071E-2</v>
      </c>
      <c r="S48" s="226"/>
      <c r="T48" s="226"/>
      <c r="U48" s="226"/>
      <c r="V48" s="226"/>
      <c r="W48" s="226"/>
      <c r="X48" s="226"/>
      <c r="Y48" s="226">
        <v>3300800</v>
      </c>
      <c r="Z48" s="226"/>
      <c r="AA48" s="226"/>
      <c r="AB48" s="226"/>
      <c r="AC48" s="226"/>
      <c r="AD48" s="226"/>
      <c r="AE48" s="204">
        <f t="shared" si="9"/>
        <v>3300800</v>
      </c>
      <c r="AF48" s="360" t="s">
        <v>254</v>
      </c>
    </row>
    <row r="49" spans="2:32" s="296" customFormat="1" ht="24.95" customHeight="1" thickBot="1" x14ac:dyDescent="0.3">
      <c r="B49" s="297"/>
      <c r="C49" s="890"/>
      <c r="D49" s="299" t="s">
        <v>79</v>
      </c>
      <c r="E49" s="341" t="s">
        <v>43</v>
      </c>
      <c r="F49" s="356" t="s">
        <v>85</v>
      </c>
      <c r="G49" s="359" t="s">
        <v>255</v>
      </c>
      <c r="H49" s="224">
        <v>44032</v>
      </c>
      <c r="I49" s="224" t="s">
        <v>68</v>
      </c>
      <c r="J49" s="223" t="s">
        <v>225</v>
      </c>
      <c r="K49" s="223" t="s">
        <v>54</v>
      </c>
      <c r="L49" s="223" t="s">
        <v>6</v>
      </c>
      <c r="M49" s="225">
        <v>47.2</v>
      </c>
      <c r="N49" s="225" t="s">
        <v>281</v>
      </c>
      <c r="O49" s="226">
        <v>4314338</v>
      </c>
      <c r="P49" s="226">
        <f t="shared" si="7"/>
        <v>91405.46610169491</v>
      </c>
      <c r="Q49" s="226">
        <v>3837765</v>
      </c>
      <c r="R49" s="380">
        <f t="shared" si="8"/>
        <v>0.12417982862421227</v>
      </c>
      <c r="S49" s="226"/>
      <c r="T49" s="226"/>
      <c r="U49" s="226"/>
      <c r="V49" s="226"/>
      <c r="W49" s="226"/>
      <c r="X49" s="226"/>
      <c r="Y49" s="226">
        <v>1000000</v>
      </c>
      <c r="Z49" s="226"/>
      <c r="AA49" s="226"/>
      <c r="AB49" s="226"/>
      <c r="AC49" s="226"/>
      <c r="AD49" s="226"/>
      <c r="AE49" s="355">
        <f t="shared" si="9"/>
        <v>1000000</v>
      </c>
      <c r="AF49" s="360" t="s">
        <v>256</v>
      </c>
    </row>
    <row r="50" spans="2:32" s="296" customFormat="1" ht="24.95" customHeight="1" thickBot="1" x14ac:dyDescent="0.3">
      <c r="B50" s="297"/>
      <c r="C50" s="890"/>
      <c r="D50" s="352" t="s">
        <v>79</v>
      </c>
      <c r="E50" s="341" t="s">
        <v>43</v>
      </c>
      <c r="F50" s="356" t="s">
        <v>85</v>
      </c>
      <c r="G50" s="359" t="s">
        <v>260</v>
      </c>
      <c r="H50" s="224">
        <v>44035</v>
      </c>
      <c r="I50" s="224" t="s">
        <v>68</v>
      </c>
      <c r="J50" s="223" t="s">
        <v>157</v>
      </c>
      <c r="K50" s="223" t="s">
        <v>54</v>
      </c>
      <c r="L50" s="223" t="s">
        <v>6</v>
      </c>
      <c r="M50" s="225">
        <v>78.52</v>
      </c>
      <c r="N50" s="225" t="s">
        <v>281</v>
      </c>
      <c r="O50" s="226">
        <f>45000*128</f>
        <v>5760000</v>
      </c>
      <c r="P50" s="226">
        <f t="shared" si="7"/>
        <v>73357.106469689257</v>
      </c>
      <c r="Q50" s="226">
        <v>5964252</v>
      </c>
      <c r="R50" s="380">
        <f t="shared" si="8"/>
        <v>-3.4246037893771085E-2</v>
      </c>
      <c r="S50" s="226"/>
      <c r="T50" s="226"/>
      <c r="U50" s="226"/>
      <c r="V50" s="226"/>
      <c r="W50" s="226"/>
      <c r="X50" s="226"/>
      <c r="Y50" s="226">
        <f>21000*128</f>
        <v>2688000</v>
      </c>
      <c r="Z50" s="226"/>
      <c r="AA50" s="226"/>
      <c r="AB50" s="226"/>
      <c r="AC50" s="226"/>
      <c r="AD50" s="226"/>
      <c r="AE50" s="355">
        <f t="shared" si="9"/>
        <v>2688000</v>
      </c>
      <c r="AF50" s="360" t="s">
        <v>261</v>
      </c>
    </row>
    <row r="51" spans="2:32" s="296" customFormat="1" ht="29.25" customHeight="1" x14ac:dyDescent="0.25">
      <c r="B51" s="297"/>
      <c r="C51" s="890"/>
      <c r="D51" s="352" t="s">
        <v>79</v>
      </c>
      <c r="E51" s="341" t="s">
        <v>43</v>
      </c>
      <c r="F51" s="363" t="s">
        <v>85</v>
      </c>
      <c r="G51" s="364" t="s">
        <v>263</v>
      </c>
      <c r="H51" s="302">
        <v>44043</v>
      </c>
      <c r="I51" s="302" t="s">
        <v>68</v>
      </c>
      <c r="J51" s="301" t="s">
        <v>264</v>
      </c>
      <c r="K51" s="301" t="s">
        <v>54</v>
      </c>
      <c r="L51" s="301" t="s">
        <v>9</v>
      </c>
      <c r="M51" s="303">
        <v>47.17</v>
      </c>
      <c r="N51" s="303" t="s">
        <v>281</v>
      </c>
      <c r="O51" s="304">
        <v>4455635</v>
      </c>
      <c r="P51" s="304">
        <f t="shared" si="7"/>
        <v>94459.084163663341</v>
      </c>
      <c r="Q51" s="226">
        <v>3108250</v>
      </c>
      <c r="R51" s="382">
        <f t="shared" si="8"/>
        <v>0.43348668865117029</v>
      </c>
      <c r="S51" s="304"/>
      <c r="T51" s="304"/>
      <c r="U51" s="304"/>
      <c r="V51" s="304"/>
      <c r="W51" s="304"/>
      <c r="X51" s="304"/>
      <c r="Y51" s="304">
        <v>30000</v>
      </c>
      <c r="Z51" s="304">
        <v>220000</v>
      </c>
      <c r="AA51" s="304"/>
      <c r="AB51" s="304"/>
      <c r="AC51" s="304"/>
      <c r="AD51" s="304"/>
      <c r="AE51" s="365">
        <f t="shared" si="9"/>
        <v>250000</v>
      </c>
      <c r="AF51" s="366" t="s">
        <v>265</v>
      </c>
    </row>
    <row r="52" spans="2:32" ht="24.95" customHeight="1" x14ac:dyDescent="0.25">
      <c r="B52" s="2"/>
      <c r="C52" s="892" t="s">
        <v>30</v>
      </c>
      <c r="D52" s="369" t="s">
        <v>70</v>
      </c>
      <c r="E52" s="222" t="s">
        <v>43</v>
      </c>
      <c r="F52" s="388" t="s">
        <v>71</v>
      </c>
      <c r="G52" s="332" t="s">
        <v>268</v>
      </c>
      <c r="H52" s="291">
        <v>44068</v>
      </c>
      <c r="I52" s="291" t="s">
        <v>60</v>
      </c>
      <c r="J52" s="280" t="s">
        <v>273</v>
      </c>
      <c r="K52" s="280" t="s">
        <v>54</v>
      </c>
      <c r="L52" s="280" t="s">
        <v>9</v>
      </c>
      <c r="M52" s="292">
        <v>52.35</v>
      </c>
      <c r="N52" s="292" t="s">
        <v>281</v>
      </c>
      <c r="O52" s="293">
        <v>3194278</v>
      </c>
      <c r="P52" s="293">
        <f t="shared" ref="P52:P72" si="10">O52/M52</f>
        <v>61017.726838586437</v>
      </c>
      <c r="Q52" s="293">
        <v>2981955</v>
      </c>
      <c r="R52" s="375">
        <f t="shared" si="8"/>
        <v>7.1202617075039693E-2</v>
      </c>
      <c r="S52" s="294"/>
      <c r="T52" s="293"/>
      <c r="U52" s="293"/>
      <c r="V52" s="293"/>
      <c r="W52" s="293"/>
      <c r="X52" s="293"/>
      <c r="Y52" s="293"/>
      <c r="Z52" s="293">
        <v>0</v>
      </c>
      <c r="AA52" s="283"/>
      <c r="AB52" s="283"/>
      <c r="AC52" s="283"/>
      <c r="AD52" s="283"/>
      <c r="AE52" s="295">
        <f t="shared" si="9"/>
        <v>0</v>
      </c>
      <c r="AF52" s="312" t="s">
        <v>269</v>
      </c>
    </row>
    <row r="53" spans="2:32" ht="24.95" customHeight="1" x14ac:dyDescent="0.25">
      <c r="B53" s="2"/>
      <c r="C53" s="892"/>
      <c r="D53" s="369" t="s">
        <v>97</v>
      </c>
      <c r="E53" s="222" t="s">
        <v>43</v>
      </c>
      <c r="F53" s="388" t="s">
        <v>90</v>
      </c>
      <c r="G53" s="332" t="s">
        <v>270</v>
      </c>
      <c r="H53" s="291">
        <v>44068</v>
      </c>
      <c r="I53" s="291" t="s">
        <v>68</v>
      </c>
      <c r="J53" s="280" t="s">
        <v>271</v>
      </c>
      <c r="K53" s="280" t="s">
        <v>54</v>
      </c>
      <c r="L53" s="280" t="s">
        <v>6</v>
      </c>
      <c r="M53" s="292">
        <v>75.67</v>
      </c>
      <c r="N53" s="292" t="s">
        <v>281</v>
      </c>
      <c r="O53" s="293">
        <v>6174218</v>
      </c>
      <c r="P53" s="293">
        <f t="shared" si="10"/>
        <v>81594.000264305534</v>
      </c>
      <c r="Q53" s="293">
        <v>5922668</v>
      </c>
      <c r="R53" s="375">
        <f t="shared" si="8"/>
        <v>4.2472412770731029E-2</v>
      </c>
      <c r="S53" s="294"/>
      <c r="T53" s="293"/>
      <c r="U53" s="293"/>
      <c r="V53" s="293"/>
      <c r="W53" s="293"/>
      <c r="X53" s="293"/>
      <c r="Y53" s="293"/>
      <c r="Z53" s="293">
        <v>4556000</v>
      </c>
      <c r="AA53" s="283"/>
      <c r="AB53" s="283"/>
      <c r="AC53" s="283"/>
      <c r="AD53" s="283"/>
      <c r="AE53" s="295">
        <f t="shared" si="9"/>
        <v>4556000</v>
      </c>
      <c r="AF53" s="312" t="s">
        <v>272</v>
      </c>
    </row>
    <row r="54" spans="2:32" ht="24.95" customHeight="1" thickBot="1" x14ac:dyDescent="0.3">
      <c r="B54" s="2"/>
      <c r="C54" s="892"/>
      <c r="D54" s="369" t="s">
        <v>79</v>
      </c>
      <c r="E54" s="222" t="s">
        <v>43</v>
      </c>
      <c r="F54" s="388" t="s">
        <v>71</v>
      </c>
      <c r="G54" s="332" t="s">
        <v>274</v>
      </c>
      <c r="H54" s="291">
        <v>44071</v>
      </c>
      <c r="I54" s="291" t="s">
        <v>68</v>
      </c>
      <c r="J54" s="280" t="s">
        <v>275</v>
      </c>
      <c r="K54" s="280" t="s">
        <v>54</v>
      </c>
      <c r="L54" s="280" t="s">
        <v>9</v>
      </c>
      <c r="M54" s="292">
        <v>47.17</v>
      </c>
      <c r="N54" s="234" t="s">
        <v>281</v>
      </c>
      <c r="O54" s="229">
        <v>4411384</v>
      </c>
      <c r="P54" s="293">
        <f t="shared" si="10"/>
        <v>93520.966716133131</v>
      </c>
      <c r="Q54" s="229">
        <v>3286420</v>
      </c>
      <c r="R54" s="378">
        <f t="shared" si="8"/>
        <v>0.34230682627296571</v>
      </c>
      <c r="S54" s="294"/>
      <c r="T54" s="293"/>
      <c r="U54" s="293"/>
      <c r="V54" s="293"/>
      <c r="W54" s="293"/>
      <c r="X54" s="293"/>
      <c r="Y54" s="293"/>
      <c r="Z54" s="293">
        <f>500000+400000</f>
        <v>900000</v>
      </c>
      <c r="AA54" s="283"/>
      <c r="AB54" s="283"/>
      <c r="AC54" s="283"/>
      <c r="AD54" s="283"/>
      <c r="AE54" s="236">
        <f t="shared" si="9"/>
        <v>900000</v>
      </c>
      <c r="AF54" s="312" t="s">
        <v>276</v>
      </c>
    </row>
    <row r="55" spans="2:32" ht="24.95" customHeight="1" thickBot="1" x14ac:dyDescent="0.3">
      <c r="B55" s="2"/>
      <c r="C55" s="893"/>
      <c r="D55" s="370" t="s">
        <v>79</v>
      </c>
      <c r="E55" s="3" t="s">
        <v>43</v>
      </c>
      <c r="F55" s="389" t="s">
        <v>71</v>
      </c>
      <c r="G55" s="408" t="s">
        <v>126</v>
      </c>
      <c r="H55" s="343">
        <v>44071</v>
      </c>
      <c r="I55" s="343" t="s">
        <v>68</v>
      </c>
      <c r="J55" s="342" t="s">
        <v>277</v>
      </c>
      <c r="K55" s="342" t="s">
        <v>54</v>
      </c>
      <c r="L55" s="342" t="s">
        <v>6</v>
      </c>
      <c r="M55" s="344">
        <v>78.52</v>
      </c>
      <c r="N55" s="569" t="s">
        <v>280</v>
      </c>
      <c r="O55" s="535">
        <v>5899907</v>
      </c>
      <c r="P55" s="345">
        <f t="shared" si="10"/>
        <v>75138.907284768211</v>
      </c>
      <c r="Q55" s="410">
        <v>6145737</v>
      </c>
      <c r="R55" s="543">
        <f t="shared" si="8"/>
        <v>-4.0000084611495741E-2</v>
      </c>
      <c r="S55" s="346"/>
      <c r="T55" s="345"/>
      <c r="U55" s="345"/>
      <c r="V55" s="345"/>
      <c r="W55" s="345"/>
      <c r="X55" s="345"/>
      <c r="Y55" s="345"/>
      <c r="Z55" s="345">
        <v>300000</v>
      </c>
      <c r="AA55" s="347">
        <v>5599907</v>
      </c>
      <c r="AB55" s="347"/>
      <c r="AC55" s="347"/>
      <c r="AD55" s="347"/>
      <c r="AE55" s="547">
        <f t="shared" si="9"/>
        <v>5899907</v>
      </c>
      <c r="AF55" s="349" t="s">
        <v>278</v>
      </c>
    </row>
    <row r="56" spans="2:32" ht="24.95" customHeight="1" x14ac:dyDescent="0.25">
      <c r="B56" s="2"/>
      <c r="C56" s="885" t="s">
        <v>31</v>
      </c>
      <c r="D56" s="367" t="s">
        <v>79</v>
      </c>
      <c r="E56" s="368" t="s">
        <v>43</v>
      </c>
      <c r="F56" s="323" t="s">
        <v>85</v>
      </c>
      <c r="G56" s="419" t="s">
        <v>284</v>
      </c>
      <c r="H56" s="190">
        <v>44083</v>
      </c>
      <c r="I56" s="190" t="s">
        <v>68</v>
      </c>
      <c r="J56" s="46" t="s">
        <v>285</v>
      </c>
      <c r="K56" s="46" t="s">
        <v>54</v>
      </c>
      <c r="L56" s="46" t="s">
        <v>9</v>
      </c>
      <c r="M56" s="191">
        <v>64.680000000000007</v>
      </c>
      <c r="N56" s="191" t="s">
        <v>281</v>
      </c>
      <c r="O56" s="192">
        <v>5974315</v>
      </c>
      <c r="P56" s="192">
        <f t="shared" si="10"/>
        <v>92367.269635126766</v>
      </c>
      <c r="Q56" s="415">
        <v>4487062</v>
      </c>
      <c r="R56" s="385">
        <f t="shared" si="8"/>
        <v>0.33145363268882844</v>
      </c>
      <c r="S56" s="192"/>
      <c r="T56" s="192"/>
      <c r="U56" s="192"/>
      <c r="V56" s="192"/>
      <c r="W56" s="192"/>
      <c r="X56" s="192"/>
      <c r="Y56" s="192"/>
      <c r="Z56" s="192"/>
      <c r="AA56" s="25">
        <f>129*10000</f>
        <v>1290000</v>
      </c>
      <c r="AB56" s="25"/>
      <c r="AC56" s="25"/>
      <c r="AD56" s="25"/>
      <c r="AE56" s="420">
        <f t="shared" si="9"/>
        <v>1290000</v>
      </c>
      <c r="AF56" s="26" t="s">
        <v>286</v>
      </c>
    </row>
    <row r="57" spans="2:32" ht="24.95" customHeight="1" x14ac:dyDescent="0.25">
      <c r="B57" s="2"/>
      <c r="C57" s="886"/>
      <c r="D57" s="406" t="s">
        <v>70</v>
      </c>
      <c r="E57" s="407" t="s">
        <v>43</v>
      </c>
      <c r="F57" s="418" t="s">
        <v>71</v>
      </c>
      <c r="G57" s="197" t="s">
        <v>229</v>
      </c>
      <c r="H57" s="413">
        <v>44095</v>
      </c>
      <c r="I57" s="413" t="s">
        <v>375</v>
      </c>
      <c r="J57" s="189" t="s">
        <v>287</v>
      </c>
      <c r="K57" s="189" t="s">
        <v>54</v>
      </c>
      <c r="L57" s="189" t="s">
        <v>6</v>
      </c>
      <c r="M57" s="414">
        <v>78.52</v>
      </c>
      <c r="N57" s="414" t="s">
        <v>280</v>
      </c>
      <c r="O57" s="415">
        <v>4747457.5433951458</v>
      </c>
      <c r="P57" s="415">
        <f t="shared" si="10"/>
        <v>60461.761887355402</v>
      </c>
      <c r="Q57" s="415">
        <v>6178249</v>
      </c>
      <c r="R57" s="416">
        <f t="shared" si="8"/>
        <v>-0.23158526899852275</v>
      </c>
      <c r="S57" s="415"/>
      <c r="T57" s="415"/>
      <c r="U57" s="415"/>
      <c r="V57" s="415"/>
      <c r="W57" s="415"/>
      <c r="X57" s="415"/>
      <c r="Y57" s="415"/>
      <c r="Z57" s="415"/>
      <c r="AA57" s="158">
        <f t="shared" ref="AA57:AA70" si="11">+O57</f>
        <v>4747457.5433951458</v>
      </c>
      <c r="AB57" s="158"/>
      <c r="AC57" s="158"/>
      <c r="AD57" s="158"/>
      <c r="AE57" s="417">
        <f t="shared" si="9"/>
        <v>4747457.5433951458</v>
      </c>
      <c r="AF57" s="421" t="s">
        <v>300</v>
      </c>
    </row>
    <row r="58" spans="2:32" ht="24.95" customHeight="1" x14ac:dyDescent="0.25">
      <c r="B58" s="2"/>
      <c r="C58" s="886"/>
      <c r="D58" s="406" t="s">
        <v>70</v>
      </c>
      <c r="E58" s="407" t="s">
        <v>43</v>
      </c>
      <c r="F58" s="418" t="s">
        <v>71</v>
      </c>
      <c r="G58" s="197" t="s">
        <v>229</v>
      </c>
      <c r="H58" s="413">
        <v>44095</v>
      </c>
      <c r="I58" s="413" t="s">
        <v>375</v>
      </c>
      <c r="J58" s="189" t="s">
        <v>288</v>
      </c>
      <c r="K58" s="189" t="s">
        <v>54</v>
      </c>
      <c r="L58" s="189" t="s">
        <v>6</v>
      </c>
      <c r="M58" s="414">
        <v>78.52</v>
      </c>
      <c r="N58" s="414" t="s">
        <v>280</v>
      </c>
      <c r="O58" s="415">
        <v>4747457.5433951458</v>
      </c>
      <c r="P58" s="415">
        <f t="shared" si="10"/>
        <v>60461.761887355402</v>
      </c>
      <c r="Q58" s="415">
        <v>6301814</v>
      </c>
      <c r="R58" s="416">
        <f t="shared" si="8"/>
        <v>-0.24665222689924746</v>
      </c>
      <c r="S58" s="415"/>
      <c r="T58" s="415"/>
      <c r="U58" s="415"/>
      <c r="V58" s="415"/>
      <c r="W58" s="415"/>
      <c r="X58" s="415"/>
      <c r="Y58" s="415"/>
      <c r="Z58" s="415"/>
      <c r="AA58" s="158">
        <f t="shared" si="11"/>
        <v>4747457.5433951458</v>
      </c>
      <c r="AB58" s="158"/>
      <c r="AC58" s="158"/>
      <c r="AD58" s="158"/>
      <c r="AE58" s="417">
        <f t="shared" si="9"/>
        <v>4747457.5433951458</v>
      </c>
      <c r="AF58" s="421" t="s">
        <v>300</v>
      </c>
    </row>
    <row r="59" spans="2:32" ht="24.95" customHeight="1" x14ac:dyDescent="0.25">
      <c r="B59" s="2"/>
      <c r="C59" s="886"/>
      <c r="D59" s="406" t="s">
        <v>70</v>
      </c>
      <c r="E59" s="407" t="s">
        <v>43</v>
      </c>
      <c r="F59" s="418" t="s">
        <v>71</v>
      </c>
      <c r="G59" s="197" t="s">
        <v>229</v>
      </c>
      <c r="H59" s="413">
        <v>44095</v>
      </c>
      <c r="I59" s="413" t="s">
        <v>375</v>
      </c>
      <c r="J59" s="189" t="s">
        <v>289</v>
      </c>
      <c r="K59" s="189" t="s">
        <v>54</v>
      </c>
      <c r="L59" s="189" t="s">
        <v>6</v>
      </c>
      <c r="M59" s="414">
        <v>78.52</v>
      </c>
      <c r="N59" s="414" t="s">
        <v>280</v>
      </c>
      <c r="O59" s="415">
        <v>4747457.5433951458</v>
      </c>
      <c r="P59" s="415">
        <f t="shared" si="10"/>
        <v>60461.761887355402</v>
      </c>
      <c r="Q59" s="415">
        <v>6301814</v>
      </c>
      <c r="R59" s="416">
        <f t="shared" si="8"/>
        <v>-0.24665222689924746</v>
      </c>
      <c r="S59" s="415"/>
      <c r="T59" s="415"/>
      <c r="U59" s="415"/>
      <c r="V59" s="415"/>
      <c r="W59" s="415"/>
      <c r="X59" s="415"/>
      <c r="Y59" s="415"/>
      <c r="Z59" s="415"/>
      <c r="AA59" s="158">
        <f t="shared" si="11"/>
        <v>4747457.5433951458</v>
      </c>
      <c r="AB59" s="158"/>
      <c r="AC59" s="158"/>
      <c r="AD59" s="158"/>
      <c r="AE59" s="417">
        <f t="shared" si="9"/>
        <v>4747457.5433951458</v>
      </c>
      <c r="AF59" s="421" t="s">
        <v>300</v>
      </c>
    </row>
    <row r="60" spans="2:32" ht="24.95" customHeight="1" x14ac:dyDescent="0.25">
      <c r="B60" s="2"/>
      <c r="C60" s="886"/>
      <c r="D60" s="406" t="s">
        <v>70</v>
      </c>
      <c r="E60" s="407" t="s">
        <v>43</v>
      </c>
      <c r="F60" s="418" t="s">
        <v>71</v>
      </c>
      <c r="G60" s="197" t="s">
        <v>229</v>
      </c>
      <c r="H60" s="413">
        <v>44095</v>
      </c>
      <c r="I60" s="413" t="s">
        <v>375</v>
      </c>
      <c r="J60" s="189" t="s">
        <v>290</v>
      </c>
      <c r="K60" s="189" t="s">
        <v>54</v>
      </c>
      <c r="L60" s="189" t="s">
        <v>6</v>
      </c>
      <c r="M60" s="414">
        <v>78.52</v>
      </c>
      <c r="N60" s="414" t="s">
        <v>280</v>
      </c>
      <c r="O60" s="415">
        <v>4747457.5433951458</v>
      </c>
      <c r="P60" s="415">
        <f t="shared" si="10"/>
        <v>60461.761887355402</v>
      </c>
      <c r="Q60" s="415">
        <v>6301814</v>
      </c>
      <c r="R60" s="416">
        <f t="shared" si="8"/>
        <v>-0.24665222689924746</v>
      </c>
      <c r="S60" s="415"/>
      <c r="T60" s="415"/>
      <c r="U60" s="415"/>
      <c r="V60" s="415"/>
      <c r="W60" s="415"/>
      <c r="X60" s="415"/>
      <c r="Y60" s="415"/>
      <c r="Z60" s="415"/>
      <c r="AA60" s="158">
        <f t="shared" si="11"/>
        <v>4747457.5433951458</v>
      </c>
      <c r="AB60" s="158"/>
      <c r="AC60" s="158"/>
      <c r="AD60" s="158"/>
      <c r="AE60" s="417">
        <f t="shared" si="9"/>
        <v>4747457.5433951458</v>
      </c>
      <c r="AF60" s="421" t="s">
        <v>300</v>
      </c>
    </row>
    <row r="61" spans="2:32" ht="24.95" customHeight="1" x14ac:dyDescent="0.25">
      <c r="B61" s="2"/>
      <c r="C61" s="886"/>
      <c r="D61" s="406" t="s">
        <v>70</v>
      </c>
      <c r="E61" s="407" t="s">
        <v>43</v>
      </c>
      <c r="F61" s="418" t="s">
        <v>71</v>
      </c>
      <c r="G61" s="197" t="s">
        <v>229</v>
      </c>
      <c r="H61" s="413">
        <v>44095</v>
      </c>
      <c r="I61" s="413" t="s">
        <v>375</v>
      </c>
      <c r="J61" s="189" t="s">
        <v>291</v>
      </c>
      <c r="K61" s="189" t="s">
        <v>54</v>
      </c>
      <c r="L61" s="189" t="s">
        <v>6</v>
      </c>
      <c r="M61" s="414">
        <v>78.52</v>
      </c>
      <c r="N61" s="414" t="s">
        <v>280</v>
      </c>
      <c r="O61" s="415">
        <v>4747457.5433951458</v>
      </c>
      <c r="P61" s="415">
        <f t="shared" si="10"/>
        <v>60461.761887355402</v>
      </c>
      <c r="Q61" s="415">
        <v>6301814</v>
      </c>
      <c r="R61" s="416">
        <f t="shared" si="8"/>
        <v>-0.24665222689924746</v>
      </c>
      <c r="S61" s="415"/>
      <c r="T61" s="415"/>
      <c r="U61" s="415"/>
      <c r="V61" s="415"/>
      <c r="W61" s="415"/>
      <c r="X61" s="415"/>
      <c r="Y61" s="415"/>
      <c r="Z61" s="415"/>
      <c r="AA61" s="158">
        <f t="shared" si="11"/>
        <v>4747457.5433951458</v>
      </c>
      <c r="AB61" s="158"/>
      <c r="AC61" s="158"/>
      <c r="AD61" s="158"/>
      <c r="AE61" s="417">
        <f t="shared" si="9"/>
        <v>4747457.5433951458</v>
      </c>
      <c r="AF61" s="421" t="s">
        <v>300</v>
      </c>
    </row>
    <row r="62" spans="2:32" ht="24.95" customHeight="1" x14ac:dyDescent="0.25">
      <c r="B62" s="2"/>
      <c r="C62" s="886"/>
      <c r="D62" s="406" t="s">
        <v>70</v>
      </c>
      <c r="E62" s="407" t="s">
        <v>43</v>
      </c>
      <c r="F62" s="418" t="s">
        <v>71</v>
      </c>
      <c r="G62" s="197" t="s">
        <v>229</v>
      </c>
      <c r="H62" s="413">
        <v>44095</v>
      </c>
      <c r="I62" s="413" t="s">
        <v>375</v>
      </c>
      <c r="J62" s="189" t="s">
        <v>292</v>
      </c>
      <c r="K62" s="189" t="s">
        <v>54</v>
      </c>
      <c r="L62" s="189" t="s">
        <v>6</v>
      </c>
      <c r="M62" s="414">
        <v>78.52</v>
      </c>
      <c r="N62" s="414" t="s">
        <v>280</v>
      </c>
      <c r="O62" s="415">
        <v>4747457.5433951458</v>
      </c>
      <c r="P62" s="415">
        <f t="shared" si="10"/>
        <v>60461.761887355402</v>
      </c>
      <c r="Q62" s="415">
        <v>6301814</v>
      </c>
      <c r="R62" s="416">
        <f t="shared" si="8"/>
        <v>-0.24665222689924746</v>
      </c>
      <c r="S62" s="415"/>
      <c r="T62" s="415"/>
      <c r="U62" s="415"/>
      <c r="V62" s="415"/>
      <c r="W62" s="415"/>
      <c r="X62" s="415"/>
      <c r="Y62" s="415"/>
      <c r="Z62" s="415"/>
      <c r="AA62" s="158">
        <f t="shared" si="11"/>
        <v>4747457.5433951458</v>
      </c>
      <c r="AB62" s="158"/>
      <c r="AC62" s="158"/>
      <c r="AD62" s="158"/>
      <c r="AE62" s="417">
        <f t="shared" si="9"/>
        <v>4747457.5433951458</v>
      </c>
      <c r="AF62" s="421" t="s">
        <v>300</v>
      </c>
    </row>
    <row r="63" spans="2:32" ht="24.95" customHeight="1" x14ac:dyDescent="0.25">
      <c r="B63" s="2"/>
      <c r="C63" s="886"/>
      <c r="D63" s="406" t="s">
        <v>70</v>
      </c>
      <c r="E63" s="407" t="s">
        <v>43</v>
      </c>
      <c r="F63" s="418" t="s">
        <v>71</v>
      </c>
      <c r="G63" s="197" t="s">
        <v>229</v>
      </c>
      <c r="H63" s="413">
        <v>44095</v>
      </c>
      <c r="I63" s="413" t="s">
        <v>375</v>
      </c>
      <c r="J63" s="189" t="s">
        <v>293</v>
      </c>
      <c r="K63" s="189" t="s">
        <v>54</v>
      </c>
      <c r="L63" s="189" t="s">
        <v>6</v>
      </c>
      <c r="M63" s="414">
        <v>75.67</v>
      </c>
      <c r="N63" s="414" t="s">
        <v>280</v>
      </c>
      <c r="O63" s="415">
        <v>4575141.5220161825</v>
      </c>
      <c r="P63" s="415">
        <f t="shared" si="10"/>
        <v>60461.761887355387</v>
      </c>
      <c r="Q63" s="415">
        <v>6073080</v>
      </c>
      <c r="R63" s="416">
        <f t="shared" si="8"/>
        <v>-0.2466521893312483</v>
      </c>
      <c r="S63" s="415"/>
      <c r="T63" s="415"/>
      <c r="U63" s="415"/>
      <c r="V63" s="415"/>
      <c r="W63" s="415"/>
      <c r="X63" s="415"/>
      <c r="Y63" s="415"/>
      <c r="Z63" s="415"/>
      <c r="AA63" s="158">
        <f t="shared" si="11"/>
        <v>4575141.5220161825</v>
      </c>
      <c r="AB63" s="158"/>
      <c r="AC63" s="158"/>
      <c r="AD63" s="158"/>
      <c r="AE63" s="417">
        <f t="shared" si="9"/>
        <v>4575141.5220161825</v>
      </c>
      <c r="AF63" s="421" t="s">
        <v>300</v>
      </c>
    </row>
    <row r="64" spans="2:32" ht="24.95" customHeight="1" x14ac:dyDescent="0.25">
      <c r="B64" s="2"/>
      <c r="C64" s="886"/>
      <c r="D64" s="406" t="s">
        <v>70</v>
      </c>
      <c r="E64" s="407" t="s">
        <v>43</v>
      </c>
      <c r="F64" s="418" t="s">
        <v>71</v>
      </c>
      <c r="G64" s="197" t="s">
        <v>229</v>
      </c>
      <c r="H64" s="413">
        <v>44095</v>
      </c>
      <c r="I64" s="413" t="s">
        <v>375</v>
      </c>
      <c r="J64" s="189" t="s">
        <v>294</v>
      </c>
      <c r="K64" s="189" t="s">
        <v>54</v>
      </c>
      <c r="L64" s="189" t="s">
        <v>6</v>
      </c>
      <c r="M64" s="414">
        <v>78.52</v>
      </c>
      <c r="N64" s="414" t="s">
        <v>280</v>
      </c>
      <c r="O64" s="415">
        <v>4747457.5433951458</v>
      </c>
      <c r="P64" s="415">
        <f t="shared" si="10"/>
        <v>60461.761887355402</v>
      </c>
      <c r="Q64" s="415">
        <v>6301814</v>
      </c>
      <c r="R64" s="416">
        <f t="shared" si="8"/>
        <v>-0.24665222689924746</v>
      </c>
      <c r="S64" s="415"/>
      <c r="T64" s="415"/>
      <c r="U64" s="415"/>
      <c r="V64" s="415"/>
      <c r="W64" s="415"/>
      <c r="X64" s="415"/>
      <c r="Y64" s="415"/>
      <c r="Z64" s="415"/>
      <c r="AA64" s="158">
        <f t="shared" si="11"/>
        <v>4747457.5433951458</v>
      </c>
      <c r="AB64" s="158"/>
      <c r="AC64" s="158"/>
      <c r="AD64" s="158"/>
      <c r="AE64" s="417">
        <f t="shared" si="9"/>
        <v>4747457.5433951458</v>
      </c>
      <c r="AF64" s="421" t="s">
        <v>300</v>
      </c>
    </row>
    <row r="65" spans="2:32" ht="24.95" customHeight="1" x14ac:dyDescent="0.25">
      <c r="B65" s="2"/>
      <c r="C65" s="886"/>
      <c r="D65" s="406" t="s">
        <v>70</v>
      </c>
      <c r="E65" s="407" t="s">
        <v>43</v>
      </c>
      <c r="F65" s="418" t="s">
        <v>71</v>
      </c>
      <c r="G65" s="197" t="s">
        <v>229</v>
      </c>
      <c r="H65" s="413">
        <v>44095</v>
      </c>
      <c r="I65" s="413" t="s">
        <v>375</v>
      </c>
      <c r="J65" s="189" t="s">
        <v>295</v>
      </c>
      <c r="K65" s="189" t="s">
        <v>54</v>
      </c>
      <c r="L65" s="189" t="s">
        <v>6</v>
      </c>
      <c r="M65" s="414">
        <v>78.52</v>
      </c>
      <c r="N65" s="414" t="s">
        <v>280</v>
      </c>
      <c r="O65" s="415">
        <v>4747457.5433951458</v>
      </c>
      <c r="P65" s="415">
        <f t="shared" si="10"/>
        <v>60461.761887355402</v>
      </c>
      <c r="Q65" s="415">
        <v>6301814</v>
      </c>
      <c r="R65" s="416">
        <f t="shared" si="8"/>
        <v>-0.24665222689924746</v>
      </c>
      <c r="S65" s="415"/>
      <c r="T65" s="415"/>
      <c r="U65" s="415"/>
      <c r="V65" s="415"/>
      <c r="W65" s="415"/>
      <c r="X65" s="415"/>
      <c r="Y65" s="415"/>
      <c r="Z65" s="415"/>
      <c r="AA65" s="158">
        <f t="shared" si="11"/>
        <v>4747457.5433951458</v>
      </c>
      <c r="AB65" s="158"/>
      <c r="AC65" s="158"/>
      <c r="AD65" s="158"/>
      <c r="AE65" s="417">
        <f t="shared" si="9"/>
        <v>4747457.5433951458</v>
      </c>
      <c r="AF65" s="421" t="s">
        <v>300</v>
      </c>
    </row>
    <row r="66" spans="2:32" ht="24.95" customHeight="1" x14ac:dyDescent="0.25">
      <c r="B66" s="2"/>
      <c r="C66" s="886"/>
      <c r="D66" s="406" t="s">
        <v>70</v>
      </c>
      <c r="E66" s="407" t="s">
        <v>43</v>
      </c>
      <c r="F66" s="418" t="s">
        <v>71</v>
      </c>
      <c r="G66" s="197" t="s">
        <v>229</v>
      </c>
      <c r="H66" s="413">
        <v>44095</v>
      </c>
      <c r="I66" s="413" t="s">
        <v>375</v>
      </c>
      <c r="J66" s="189" t="s">
        <v>296</v>
      </c>
      <c r="K66" s="189" t="s">
        <v>54</v>
      </c>
      <c r="L66" s="189" t="s">
        <v>6</v>
      </c>
      <c r="M66" s="414">
        <v>75.67</v>
      </c>
      <c r="N66" s="414" t="s">
        <v>280</v>
      </c>
      <c r="O66" s="415">
        <v>4575141.5220161825</v>
      </c>
      <c r="P66" s="415">
        <f t="shared" si="10"/>
        <v>60461.761887355387</v>
      </c>
      <c r="Q66" s="415">
        <v>6073080</v>
      </c>
      <c r="R66" s="416">
        <f t="shared" si="8"/>
        <v>-0.2466521893312483</v>
      </c>
      <c r="S66" s="415"/>
      <c r="T66" s="415"/>
      <c r="U66" s="415"/>
      <c r="V66" s="415"/>
      <c r="W66" s="415"/>
      <c r="X66" s="415"/>
      <c r="Y66" s="415"/>
      <c r="Z66" s="415"/>
      <c r="AA66" s="158">
        <f t="shared" si="11"/>
        <v>4575141.5220161825</v>
      </c>
      <c r="AB66" s="158"/>
      <c r="AC66" s="158"/>
      <c r="AD66" s="158"/>
      <c r="AE66" s="417">
        <f t="shared" si="9"/>
        <v>4575141.5220161825</v>
      </c>
      <c r="AF66" s="421" t="s">
        <v>300</v>
      </c>
    </row>
    <row r="67" spans="2:32" ht="24.95" customHeight="1" x14ac:dyDescent="0.25">
      <c r="B67" s="2"/>
      <c r="C67" s="886"/>
      <c r="D67" s="406" t="s">
        <v>70</v>
      </c>
      <c r="E67" s="407" t="s">
        <v>43</v>
      </c>
      <c r="F67" s="418" t="s">
        <v>71</v>
      </c>
      <c r="G67" s="197" t="s">
        <v>229</v>
      </c>
      <c r="H67" s="413">
        <v>44095</v>
      </c>
      <c r="I67" s="413" t="s">
        <v>375</v>
      </c>
      <c r="J67" s="189" t="s">
        <v>297</v>
      </c>
      <c r="K67" s="189" t="s">
        <v>54</v>
      </c>
      <c r="L67" s="189" t="s">
        <v>6</v>
      </c>
      <c r="M67" s="414">
        <v>78.52</v>
      </c>
      <c r="N67" s="414" t="s">
        <v>280</v>
      </c>
      <c r="O67" s="415">
        <v>4747457.5433951458</v>
      </c>
      <c r="P67" s="415">
        <f t="shared" si="10"/>
        <v>60461.761887355402</v>
      </c>
      <c r="Q67" s="415">
        <v>6301814</v>
      </c>
      <c r="R67" s="416">
        <f t="shared" si="8"/>
        <v>-0.24665222689924746</v>
      </c>
      <c r="S67" s="415"/>
      <c r="T67" s="415"/>
      <c r="U67" s="415"/>
      <c r="V67" s="415"/>
      <c r="W67" s="415"/>
      <c r="X67" s="415"/>
      <c r="Y67" s="415"/>
      <c r="Z67" s="415"/>
      <c r="AA67" s="158">
        <f t="shared" si="11"/>
        <v>4747457.5433951458</v>
      </c>
      <c r="AB67" s="158"/>
      <c r="AC67" s="158"/>
      <c r="AD67" s="158"/>
      <c r="AE67" s="417">
        <f t="shared" si="9"/>
        <v>4747457.5433951458</v>
      </c>
      <c r="AF67" s="421" t="s">
        <v>300</v>
      </c>
    </row>
    <row r="68" spans="2:32" ht="24.95" customHeight="1" x14ac:dyDescent="0.25">
      <c r="B68" s="2"/>
      <c r="C68" s="886"/>
      <c r="D68" s="406" t="s">
        <v>70</v>
      </c>
      <c r="E68" s="407" t="s">
        <v>43</v>
      </c>
      <c r="F68" s="418" t="s">
        <v>71</v>
      </c>
      <c r="G68" s="197" t="s">
        <v>229</v>
      </c>
      <c r="H68" s="413">
        <v>44095</v>
      </c>
      <c r="I68" s="413" t="s">
        <v>375</v>
      </c>
      <c r="J68" s="189" t="s">
        <v>298</v>
      </c>
      <c r="K68" s="189" t="s">
        <v>54</v>
      </c>
      <c r="L68" s="189" t="s">
        <v>6</v>
      </c>
      <c r="M68" s="414">
        <v>75.67</v>
      </c>
      <c r="N68" s="414" t="s">
        <v>280</v>
      </c>
      <c r="O68" s="415">
        <v>4575141.5220161825</v>
      </c>
      <c r="P68" s="415">
        <f t="shared" si="10"/>
        <v>60461.761887355387</v>
      </c>
      <c r="Q68" s="415">
        <v>6073080</v>
      </c>
      <c r="R68" s="416">
        <f t="shared" si="8"/>
        <v>-0.2466521893312483</v>
      </c>
      <c r="S68" s="415"/>
      <c r="T68" s="415"/>
      <c r="U68" s="415"/>
      <c r="V68" s="415"/>
      <c r="W68" s="415"/>
      <c r="X68" s="415"/>
      <c r="Y68" s="415"/>
      <c r="Z68" s="415"/>
      <c r="AA68" s="158">
        <f t="shared" si="11"/>
        <v>4575141.5220161825</v>
      </c>
      <c r="AB68" s="158"/>
      <c r="AC68" s="158"/>
      <c r="AD68" s="158"/>
      <c r="AE68" s="417">
        <f t="shared" si="9"/>
        <v>4575141.5220161825</v>
      </c>
      <c r="AF68" s="421" t="s">
        <v>300</v>
      </c>
    </row>
    <row r="69" spans="2:32" ht="24.95" customHeight="1" x14ac:dyDescent="0.25">
      <c r="B69" s="2"/>
      <c r="C69" s="886"/>
      <c r="D69" s="406" t="s">
        <v>70</v>
      </c>
      <c r="E69" s="407" t="s">
        <v>43</v>
      </c>
      <c r="F69" s="418" t="s">
        <v>71</v>
      </c>
      <c r="G69" s="189" t="s">
        <v>229</v>
      </c>
      <c r="H69" s="413">
        <v>44095</v>
      </c>
      <c r="I69" s="413" t="s">
        <v>375</v>
      </c>
      <c r="J69" s="189" t="s">
        <v>299</v>
      </c>
      <c r="K69" s="189" t="s">
        <v>54</v>
      </c>
      <c r="L69" s="189" t="s">
        <v>6</v>
      </c>
      <c r="M69" s="414">
        <v>78.52</v>
      </c>
      <c r="N69" s="414" t="s">
        <v>280</v>
      </c>
      <c r="O69" s="415">
        <v>4747457.5433951458</v>
      </c>
      <c r="P69" s="415">
        <f t="shared" si="10"/>
        <v>60461.761887355402</v>
      </c>
      <c r="Q69" s="415">
        <v>6301814</v>
      </c>
      <c r="R69" s="416">
        <f t="shared" si="8"/>
        <v>-0.24665222689924746</v>
      </c>
      <c r="S69" s="415"/>
      <c r="T69" s="415"/>
      <c r="U69" s="415"/>
      <c r="V69" s="415"/>
      <c r="W69" s="415"/>
      <c r="X69" s="415"/>
      <c r="Y69" s="415"/>
      <c r="Z69" s="415"/>
      <c r="AA69" s="158">
        <f t="shared" si="11"/>
        <v>4747457.5433951458</v>
      </c>
      <c r="AB69" s="158"/>
      <c r="AC69" s="158"/>
      <c r="AD69" s="158"/>
      <c r="AE69" s="417">
        <f t="shared" si="9"/>
        <v>4747457.5433951458</v>
      </c>
      <c r="AF69" s="422" t="s">
        <v>300</v>
      </c>
    </row>
    <row r="70" spans="2:32" ht="24.95" customHeight="1" thickBot="1" x14ac:dyDescent="0.3">
      <c r="B70" s="2"/>
      <c r="C70" s="888"/>
      <c r="D70" s="406" t="s">
        <v>79</v>
      </c>
      <c r="E70" s="407" t="s">
        <v>43</v>
      </c>
      <c r="F70" s="418" t="s">
        <v>85</v>
      </c>
      <c r="G70" s="56" t="s">
        <v>301</v>
      </c>
      <c r="H70" s="194">
        <v>44099</v>
      </c>
      <c r="I70" s="194" t="s">
        <v>68</v>
      </c>
      <c r="J70" s="56" t="s">
        <v>302</v>
      </c>
      <c r="K70" s="56" t="s">
        <v>54</v>
      </c>
      <c r="L70" s="56" t="s">
        <v>6</v>
      </c>
      <c r="M70" s="195">
        <v>46.97</v>
      </c>
      <c r="N70" s="195" t="s">
        <v>280</v>
      </c>
      <c r="O70" s="196">
        <v>3839617</v>
      </c>
      <c r="P70" s="196">
        <f t="shared" si="10"/>
        <v>81746.157121566954</v>
      </c>
      <c r="Q70" s="196">
        <v>3839617</v>
      </c>
      <c r="R70" s="384">
        <f t="shared" si="8"/>
        <v>0</v>
      </c>
      <c r="S70" s="196"/>
      <c r="T70" s="196"/>
      <c r="U70" s="196"/>
      <c r="V70" s="196"/>
      <c r="W70" s="196"/>
      <c r="X70" s="196"/>
      <c r="Y70" s="196"/>
      <c r="Z70" s="196"/>
      <c r="AA70" s="57">
        <f t="shared" si="11"/>
        <v>3839617</v>
      </c>
      <c r="AB70" s="57"/>
      <c r="AC70" s="57"/>
      <c r="AD70" s="57"/>
      <c r="AE70" s="143">
        <f t="shared" si="9"/>
        <v>3839617</v>
      </c>
      <c r="AF70" s="423" t="s">
        <v>303</v>
      </c>
    </row>
    <row r="71" spans="2:32" ht="24.95" customHeight="1" x14ac:dyDescent="0.25">
      <c r="B71" s="2"/>
      <c r="C71" s="885" t="s">
        <v>34</v>
      </c>
      <c r="D71" s="198" t="s">
        <v>70</v>
      </c>
      <c r="E71" s="199" t="s">
        <v>110</v>
      </c>
      <c r="F71" s="33" t="s">
        <v>85</v>
      </c>
      <c r="G71" s="228" t="s">
        <v>304</v>
      </c>
      <c r="H71" s="409">
        <v>44159</v>
      </c>
      <c r="I71" s="409" t="s">
        <v>68</v>
      </c>
      <c r="J71" s="228" t="s">
        <v>121</v>
      </c>
      <c r="K71" s="228" t="s">
        <v>54</v>
      </c>
      <c r="L71" s="228" t="s">
        <v>44</v>
      </c>
      <c r="M71" s="228">
        <v>41.35</v>
      </c>
      <c r="N71" s="228" t="s">
        <v>280</v>
      </c>
      <c r="O71" s="428">
        <f>20350*160</f>
        <v>3256000</v>
      </c>
      <c r="P71" s="428">
        <f>O71/M71</f>
        <v>78742.442563482458</v>
      </c>
      <c r="Q71" s="428">
        <v>3702297</v>
      </c>
      <c r="R71" s="411">
        <f t="shared" si="8"/>
        <v>-0.12054597456660014</v>
      </c>
      <c r="S71" s="412"/>
      <c r="T71" s="410"/>
      <c r="U71" s="410"/>
      <c r="V71" s="410"/>
      <c r="W71" s="410"/>
      <c r="X71" s="410"/>
      <c r="Y71" s="410"/>
      <c r="Z71" s="410"/>
      <c r="AA71" s="230"/>
      <c r="AB71" s="230"/>
      <c r="AC71" s="230">
        <f t="shared" ref="AC71:AC92" si="12">+O71</f>
        <v>3256000</v>
      </c>
      <c r="AD71" s="230"/>
      <c r="AE71" s="231">
        <f t="shared" si="9"/>
        <v>3256000</v>
      </c>
      <c r="AF71" s="312" t="s">
        <v>305</v>
      </c>
    </row>
    <row r="72" spans="2:32" ht="24.95" customHeight="1" thickBot="1" x14ac:dyDescent="0.3">
      <c r="B72" s="2"/>
      <c r="C72" s="886"/>
      <c r="D72" s="205" t="s">
        <v>70</v>
      </c>
      <c r="E72" s="206"/>
      <c r="F72" s="67"/>
      <c r="G72" s="280" t="s">
        <v>304</v>
      </c>
      <c r="H72" s="291">
        <v>44159</v>
      </c>
      <c r="I72" s="291" t="s">
        <v>68</v>
      </c>
      <c r="J72" s="280" t="s">
        <v>104</v>
      </c>
      <c r="K72" s="280" t="s">
        <v>54</v>
      </c>
      <c r="L72" s="280" t="s">
        <v>44</v>
      </c>
      <c r="M72" s="280">
        <v>41.35</v>
      </c>
      <c r="N72" s="280" t="s">
        <v>280</v>
      </c>
      <c r="O72" s="538">
        <f>20350*160</f>
        <v>3256000</v>
      </c>
      <c r="P72" s="538">
        <f t="shared" si="10"/>
        <v>78742.442563482458</v>
      </c>
      <c r="Q72" s="538">
        <v>3700506</v>
      </c>
      <c r="R72" s="375">
        <f t="shared" si="8"/>
        <v>-0.12012032949007515</v>
      </c>
      <c r="S72" s="294"/>
      <c r="T72" s="293"/>
      <c r="U72" s="293"/>
      <c r="V72" s="293"/>
      <c r="W72" s="293"/>
      <c r="X72" s="293"/>
      <c r="Y72" s="293"/>
      <c r="Z72" s="293"/>
      <c r="AA72" s="283"/>
      <c r="AB72" s="283"/>
      <c r="AC72" s="283">
        <f t="shared" si="12"/>
        <v>3256000</v>
      </c>
      <c r="AD72" s="283"/>
      <c r="AE72" s="295">
        <f t="shared" si="9"/>
        <v>3256000</v>
      </c>
      <c r="AF72" s="539" t="s">
        <v>305</v>
      </c>
    </row>
    <row r="73" spans="2:32" ht="24.95" customHeight="1" x14ac:dyDescent="0.25">
      <c r="B73" s="2"/>
      <c r="C73" s="886"/>
      <c r="D73" s="533" t="s">
        <v>70</v>
      </c>
      <c r="E73" s="54"/>
      <c r="F73" s="40"/>
      <c r="G73" s="280" t="s">
        <v>229</v>
      </c>
      <c r="H73" s="291">
        <v>44162</v>
      </c>
      <c r="I73" s="291" t="s">
        <v>375</v>
      </c>
      <c r="J73" s="280" t="s">
        <v>154</v>
      </c>
      <c r="K73" s="280" t="s">
        <v>54</v>
      </c>
      <c r="L73" s="280" t="s">
        <v>365</v>
      </c>
      <c r="M73" s="292">
        <v>115.17619000980855</v>
      </c>
      <c r="N73" s="280" t="s">
        <v>280</v>
      </c>
      <c r="O73" s="538">
        <v>7371276.160627747</v>
      </c>
      <c r="P73" s="538">
        <f>+O73/M73</f>
        <v>64000</v>
      </c>
      <c r="Q73" s="538">
        <v>9680648.6400000006</v>
      </c>
      <c r="R73" s="375">
        <f t="shared" si="8"/>
        <v>-0.2385555519317199</v>
      </c>
      <c r="S73" s="294"/>
      <c r="T73" s="293"/>
      <c r="U73" s="293"/>
      <c r="V73" s="293"/>
      <c r="W73" s="293"/>
      <c r="X73" s="293"/>
      <c r="Y73" s="293"/>
      <c r="Z73" s="293"/>
      <c r="AA73" s="283"/>
      <c r="AB73" s="283"/>
      <c r="AC73" s="283">
        <f t="shared" si="12"/>
        <v>7371276.160627747</v>
      </c>
      <c r="AD73" s="283"/>
      <c r="AE73" s="295">
        <f t="shared" si="9"/>
        <v>7371276.160627747</v>
      </c>
      <c r="AF73" s="539" t="s">
        <v>305</v>
      </c>
    </row>
    <row r="74" spans="2:32" ht="24.95" customHeight="1" x14ac:dyDescent="0.25">
      <c r="B74" s="2"/>
      <c r="C74" s="886"/>
      <c r="D74" s="533" t="s">
        <v>70</v>
      </c>
      <c r="E74" s="54"/>
      <c r="F74" s="40"/>
      <c r="G74" s="280" t="s">
        <v>229</v>
      </c>
      <c r="H74" s="291">
        <v>44162</v>
      </c>
      <c r="I74" s="291" t="s">
        <v>375</v>
      </c>
      <c r="J74" s="280" t="s">
        <v>82</v>
      </c>
      <c r="K74" s="280" t="s">
        <v>54</v>
      </c>
      <c r="L74" s="280" t="s">
        <v>365</v>
      </c>
      <c r="M74" s="292">
        <v>63.372481107890145</v>
      </c>
      <c r="N74" s="280" t="s">
        <v>280</v>
      </c>
      <c r="O74" s="538">
        <v>4055838.790904969</v>
      </c>
      <c r="P74" s="538">
        <f t="shared" ref="P74:P94" si="13">+O74/M74</f>
        <v>63999.999999999993</v>
      </c>
      <c r="Q74" s="538">
        <v>5069600</v>
      </c>
      <c r="R74" s="375">
        <f t="shared" si="8"/>
        <v>-0.19996867782370029</v>
      </c>
      <c r="S74" s="294"/>
      <c r="T74" s="293"/>
      <c r="U74" s="293"/>
      <c r="V74" s="293"/>
      <c r="W74" s="293"/>
      <c r="X74" s="293"/>
      <c r="Y74" s="293"/>
      <c r="Z74" s="293"/>
      <c r="AA74" s="283"/>
      <c r="AB74" s="283"/>
      <c r="AC74" s="283">
        <f t="shared" si="12"/>
        <v>4055838.790904969</v>
      </c>
      <c r="AD74" s="283"/>
      <c r="AE74" s="295">
        <f t="shared" si="9"/>
        <v>4055838.790904969</v>
      </c>
      <c r="AF74" s="539" t="s">
        <v>305</v>
      </c>
    </row>
    <row r="75" spans="2:32" ht="24.95" customHeight="1" x14ac:dyDescent="0.25">
      <c r="B75" s="2"/>
      <c r="C75" s="886"/>
      <c r="D75" s="533" t="s">
        <v>70</v>
      </c>
      <c r="E75" s="54"/>
      <c r="F75" s="40"/>
      <c r="G75" s="280" t="s">
        <v>229</v>
      </c>
      <c r="H75" s="291">
        <v>44162</v>
      </c>
      <c r="I75" s="291" t="s">
        <v>375</v>
      </c>
      <c r="J75" s="280" t="s">
        <v>73</v>
      </c>
      <c r="K75" s="280" t="s">
        <v>54</v>
      </c>
      <c r="L75" s="280" t="s">
        <v>365</v>
      </c>
      <c r="M75" s="292">
        <v>63.372481107890145</v>
      </c>
      <c r="N75" s="280" t="s">
        <v>280</v>
      </c>
      <c r="O75" s="538">
        <v>4055838.790904969</v>
      </c>
      <c r="P75" s="538">
        <f t="shared" si="13"/>
        <v>63999.999999999993</v>
      </c>
      <c r="Q75" s="538">
        <v>5069600</v>
      </c>
      <c r="R75" s="375">
        <f t="shared" ref="R75:R96" si="14">+(O75-Q75)/Q75</f>
        <v>-0.19996867782370029</v>
      </c>
      <c r="S75" s="294"/>
      <c r="T75" s="293"/>
      <c r="U75" s="293"/>
      <c r="V75" s="293"/>
      <c r="W75" s="293"/>
      <c r="X75" s="293"/>
      <c r="Y75" s="293"/>
      <c r="Z75" s="293"/>
      <c r="AA75" s="283"/>
      <c r="AB75" s="283"/>
      <c r="AC75" s="283">
        <f t="shared" si="12"/>
        <v>4055838.790904969</v>
      </c>
      <c r="AD75" s="283"/>
      <c r="AE75" s="295">
        <f t="shared" si="9"/>
        <v>4055838.790904969</v>
      </c>
      <c r="AF75" s="539" t="s">
        <v>305</v>
      </c>
    </row>
    <row r="76" spans="2:32" ht="24.95" customHeight="1" x14ac:dyDescent="0.25">
      <c r="B76" s="2"/>
      <c r="C76" s="886"/>
      <c r="D76" s="533" t="s">
        <v>70</v>
      </c>
      <c r="E76" s="54"/>
      <c r="F76" s="40"/>
      <c r="G76" s="280" t="s">
        <v>229</v>
      </c>
      <c r="H76" s="291">
        <v>44162</v>
      </c>
      <c r="I76" s="291" t="s">
        <v>375</v>
      </c>
      <c r="J76" s="280" t="s">
        <v>205</v>
      </c>
      <c r="K76" s="280" t="s">
        <v>54</v>
      </c>
      <c r="L76" s="280" t="s">
        <v>365</v>
      </c>
      <c r="M76" s="292">
        <v>69.752130534459056</v>
      </c>
      <c r="N76" s="280" t="s">
        <v>280</v>
      </c>
      <c r="O76" s="538">
        <v>4464136.3542053793</v>
      </c>
      <c r="P76" s="538">
        <f t="shared" si="13"/>
        <v>63999.999999999993</v>
      </c>
      <c r="Q76" s="538">
        <v>5580000</v>
      </c>
      <c r="R76" s="375">
        <f t="shared" si="14"/>
        <v>-0.19997556376247683</v>
      </c>
      <c r="S76" s="294"/>
      <c r="T76" s="293"/>
      <c r="U76" s="293"/>
      <c r="V76" s="293"/>
      <c r="W76" s="293"/>
      <c r="X76" s="293"/>
      <c r="Y76" s="293"/>
      <c r="Z76" s="293"/>
      <c r="AA76" s="283"/>
      <c r="AB76" s="283"/>
      <c r="AC76" s="283">
        <f t="shared" si="12"/>
        <v>4464136.3542053793</v>
      </c>
      <c r="AD76" s="283"/>
      <c r="AE76" s="295">
        <f t="shared" si="9"/>
        <v>4464136.3542053793</v>
      </c>
      <c r="AF76" s="539" t="s">
        <v>305</v>
      </c>
    </row>
    <row r="77" spans="2:32" ht="24.95" customHeight="1" x14ac:dyDescent="0.25">
      <c r="B77" s="2"/>
      <c r="C77" s="886"/>
      <c r="D77" s="533" t="s">
        <v>70</v>
      </c>
      <c r="E77" s="54"/>
      <c r="F77" s="40"/>
      <c r="G77" s="280" t="s">
        <v>229</v>
      </c>
      <c r="H77" s="291">
        <v>44162</v>
      </c>
      <c r="I77" s="291" t="s">
        <v>375</v>
      </c>
      <c r="J77" s="280" t="s">
        <v>203</v>
      </c>
      <c r="K77" s="280" t="s">
        <v>54</v>
      </c>
      <c r="L77" s="280" t="s">
        <v>365</v>
      </c>
      <c r="M77" s="292">
        <v>35.289155673899955</v>
      </c>
      <c r="N77" s="280" t="s">
        <v>280</v>
      </c>
      <c r="O77" s="538">
        <v>2258505.9631295973</v>
      </c>
      <c r="P77" s="538">
        <f t="shared" si="13"/>
        <v>64000</v>
      </c>
      <c r="Q77" s="538">
        <v>2823200</v>
      </c>
      <c r="R77" s="375">
        <f t="shared" si="14"/>
        <v>-0.20001914029130163</v>
      </c>
      <c r="S77" s="294"/>
      <c r="T77" s="293"/>
      <c r="U77" s="293"/>
      <c r="V77" s="293"/>
      <c r="W77" s="293"/>
      <c r="X77" s="293"/>
      <c r="Y77" s="293"/>
      <c r="Z77" s="293"/>
      <c r="AA77" s="283"/>
      <c r="AB77" s="283"/>
      <c r="AC77" s="283">
        <f t="shared" si="12"/>
        <v>2258505.9631295973</v>
      </c>
      <c r="AD77" s="283"/>
      <c r="AE77" s="295">
        <f t="shared" si="9"/>
        <v>2258505.9631295973</v>
      </c>
      <c r="AF77" s="539" t="s">
        <v>305</v>
      </c>
    </row>
    <row r="78" spans="2:32" ht="24.95" customHeight="1" x14ac:dyDescent="0.25">
      <c r="B78" s="2"/>
      <c r="C78" s="886"/>
      <c r="D78" s="533" t="s">
        <v>70</v>
      </c>
      <c r="E78" s="54"/>
      <c r="F78" s="40"/>
      <c r="G78" s="280" t="s">
        <v>229</v>
      </c>
      <c r="H78" s="291">
        <v>44162</v>
      </c>
      <c r="I78" s="291" t="s">
        <v>375</v>
      </c>
      <c r="J78" s="280" t="s">
        <v>339</v>
      </c>
      <c r="K78" s="280" t="s">
        <v>54</v>
      </c>
      <c r="L78" s="280" t="s">
        <v>365</v>
      </c>
      <c r="M78" s="292">
        <v>46.104657712134518</v>
      </c>
      <c r="N78" s="280" t="s">
        <v>280</v>
      </c>
      <c r="O78" s="538">
        <v>2950698.0935766092</v>
      </c>
      <c r="P78" s="538">
        <f t="shared" si="13"/>
        <v>64000</v>
      </c>
      <c r="Q78" s="538">
        <v>3688000</v>
      </c>
      <c r="R78" s="375">
        <f t="shared" si="14"/>
        <v>-0.199919172023696</v>
      </c>
      <c r="S78" s="294"/>
      <c r="T78" s="293"/>
      <c r="U78" s="293"/>
      <c r="V78" s="293"/>
      <c r="W78" s="293"/>
      <c r="X78" s="293"/>
      <c r="Y78" s="293"/>
      <c r="Z78" s="293"/>
      <c r="AA78" s="283"/>
      <c r="AB78" s="283"/>
      <c r="AC78" s="283">
        <f t="shared" si="12"/>
        <v>2950698.0935766092</v>
      </c>
      <c r="AD78" s="283"/>
      <c r="AE78" s="295">
        <f t="shared" si="9"/>
        <v>2950698.0935766092</v>
      </c>
      <c r="AF78" s="539" t="s">
        <v>305</v>
      </c>
    </row>
    <row r="79" spans="2:32" ht="24.95" customHeight="1" x14ac:dyDescent="0.25">
      <c r="B79" s="2"/>
      <c r="C79" s="886"/>
      <c r="D79" s="533" t="s">
        <v>70</v>
      </c>
      <c r="E79" s="54"/>
      <c r="F79" s="40"/>
      <c r="G79" s="280" t="s">
        <v>229</v>
      </c>
      <c r="H79" s="291">
        <v>44162</v>
      </c>
      <c r="I79" s="291" t="s">
        <v>375</v>
      </c>
      <c r="J79" s="280" t="s">
        <v>358</v>
      </c>
      <c r="K79" s="280" t="s">
        <v>54</v>
      </c>
      <c r="L79" s="280" t="s">
        <v>365</v>
      </c>
      <c r="M79" s="292">
        <v>46.021720220423724</v>
      </c>
      <c r="N79" s="280" t="s">
        <v>280</v>
      </c>
      <c r="O79" s="538">
        <v>2945390.0941071184</v>
      </c>
      <c r="P79" s="538">
        <f t="shared" si="13"/>
        <v>64000</v>
      </c>
      <c r="Q79" s="538">
        <v>3681600.0000000005</v>
      </c>
      <c r="R79" s="375">
        <f t="shared" si="14"/>
        <v>-0.19997009612475064</v>
      </c>
      <c r="S79" s="294"/>
      <c r="T79" s="293"/>
      <c r="U79" s="293"/>
      <c r="V79" s="293"/>
      <c r="W79" s="293"/>
      <c r="X79" s="293"/>
      <c r="Y79" s="293"/>
      <c r="Z79" s="293"/>
      <c r="AA79" s="283"/>
      <c r="AB79" s="283"/>
      <c r="AC79" s="283">
        <f t="shared" si="12"/>
        <v>2945390.0941071184</v>
      </c>
      <c r="AD79" s="283"/>
      <c r="AE79" s="295">
        <f t="shared" si="9"/>
        <v>2945390.0941071184</v>
      </c>
      <c r="AF79" s="539" t="s">
        <v>305</v>
      </c>
    </row>
    <row r="80" spans="2:32" ht="24.95" customHeight="1" x14ac:dyDescent="0.25">
      <c r="B80" s="2"/>
      <c r="C80" s="886"/>
      <c r="D80" s="533" t="s">
        <v>70</v>
      </c>
      <c r="E80" s="54"/>
      <c r="F80" s="40"/>
      <c r="G80" s="280" t="s">
        <v>229</v>
      </c>
      <c r="H80" s="291">
        <v>44162</v>
      </c>
      <c r="I80" s="291" t="s">
        <v>375</v>
      </c>
      <c r="J80" s="280" t="s">
        <v>95</v>
      </c>
      <c r="K80" s="280" t="s">
        <v>54</v>
      </c>
      <c r="L80" s="280" t="s">
        <v>365</v>
      </c>
      <c r="M80" s="292">
        <v>44.582026050343003</v>
      </c>
      <c r="N80" s="280" t="s">
        <v>280</v>
      </c>
      <c r="O80" s="538">
        <v>2853249.6672219522</v>
      </c>
      <c r="P80" s="538">
        <f t="shared" si="13"/>
        <v>64000</v>
      </c>
      <c r="Q80" s="538">
        <v>3566400</v>
      </c>
      <c r="R80" s="375">
        <f t="shared" si="14"/>
        <v>-0.19996364198576935</v>
      </c>
      <c r="S80" s="294"/>
      <c r="T80" s="293"/>
      <c r="U80" s="293"/>
      <c r="V80" s="293"/>
      <c r="W80" s="293"/>
      <c r="X80" s="293"/>
      <c r="Y80" s="293"/>
      <c r="Z80" s="293"/>
      <c r="AA80" s="283"/>
      <c r="AB80" s="283"/>
      <c r="AC80" s="283">
        <f t="shared" si="12"/>
        <v>2853249.6672219522</v>
      </c>
      <c r="AD80" s="283"/>
      <c r="AE80" s="295">
        <f t="shared" si="9"/>
        <v>2853249.6672219522</v>
      </c>
      <c r="AF80" s="539" t="s">
        <v>305</v>
      </c>
    </row>
    <row r="81" spans="2:32" ht="24.95" customHeight="1" x14ac:dyDescent="0.25">
      <c r="B81" s="2"/>
      <c r="C81" s="886"/>
      <c r="D81" s="533" t="s">
        <v>70</v>
      </c>
      <c r="E81" s="54"/>
      <c r="F81" s="40"/>
      <c r="G81" s="280" t="s">
        <v>229</v>
      </c>
      <c r="H81" s="291">
        <v>44162</v>
      </c>
      <c r="I81" s="291" t="s">
        <v>375</v>
      </c>
      <c r="J81" s="280" t="s">
        <v>359</v>
      </c>
      <c r="K81" s="280" t="s">
        <v>54</v>
      </c>
      <c r="L81" s="280" t="s">
        <v>365</v>
      </c>
      <c r="M81" s="292">
        <v>44.754378728322344</v>
      </c>
      <c r="N81" s="280" t="s">
        <v>280</v>
      </c>
      <c r="O81" s="538">
        <v>2864280.2386126299</v>
      </c>
      <c r="P81" s="538">
        <f t="shared" si="13"/>
        <v>64000</v>
      </c>
      <c r="Q81" s="538">
        <v>3580000</v>
      </c>
      <c r="R81" s="375">
        <f t="shared" si="14"/>
        <v>-0.19992172105792461</v>
      </c>
      <c r="S81" s="294"/>
      <c r="T81" s="293"/>
      <c r="U81" s="293"/>
      <c r="V81" s="293"/>
      <c r="W81" s="293"/>
      <c r="X81" s="293"/>
      <c r="Y81" s="293"/>
      <c r="Z81" s="293"/>
      <c r="AA81" s="283"/>
      <c r="AB81" s="283"/>
      <c r="AC81" s="283">
        <f t="shared" si="12"/>
        <v>2864280.2386126299</v>
      </c>
      <c r="AD81" s="283"/>
      <c r="AE81" s="295">
        <f t="shared" si="9"/>
        <v>2864280.2386126299</v>
      </c>
      <c r="AF81" s="539" t="s">
        <v>305</v>
      </c>
    </row>
    <row r="82" spans="2:32" ht="24.95" customHeight="1" x14ac:dyDescent="0.25">
      <c r="B82" s="2"/>
      <c r="C82" s="886"/>
      <c r="D82" s="533" t="s">
        <v>70</v>
      </c>
      <c r="E82" s="54"/>
      <c r="F82" s="40"/>
      <c r="G82" s="280" t="s">
        <v>229</v>
      </c>
      <c r="H82" s="291">
        <v>44162</v>
      </c>
      <c r="I82" s="291" t="s">
        <v>375</v>
      </c>
      <c r="J82" s="280" t="s">
        <v>360</v>
      </c>
      <c r="K82" s="280" t="s">
        <v>54</v>
      </c>
      <c r="L82" s="280" t="s">
        <v>365</v>
      </c>
      <c r="M82" s="292">
        <v>73.207978671773532</v>
      </c>
      <c r="N82" s="280" t="s">
        <v>280</v>
      </c>
      <c r="O82" s="538">
        <v>4685310.6349935066</v>
      </c>
      <c r="P82" s="538">
        <f t="shared" si="13"/>
        <v>64000.000000000007</v>
      </c>
      <c r="Q82" s="538">
        <v>5856799.9999999991</v>
      </c>
      <c r="R82" s="375">
        <f t="shared" si="14"/>
        <v>-0.20002208800138174</v>
      </c>
      <c r="S82" s="294"/>
      <c r="T82" s="293"/>
      <c r="U82" s="293"/>
      <c r="V82" s="293"/>
      <c r="W82" s="293"/>
      <c r="X82" s="293"/>
      <c r="Y82" s="293"/>
      <c r="Z82" s="293"/>
      <c r="AA82" s="283"/>
      <c r="AB82" s="283"/>
      <c r="AC82" s="283">
        <f t="shared" si="12"/>
        <v>4685310.6349935066</v>
      </c>
      <c r="AD82" s="283"/>
      <c r="AE82" s="295">
        <f t="shared" si="9"/>
        <v>4685310.6349935066</v>
      </c>
      <c r="AF82" s="539" t="s">
        <v>305</v>
      </c>
    </row>
    <row r="83" spans="2:32" ht="24.95" customHeight="1" x14ac:dyDescent="0.25">
      <c r="B83" s="2"/>
      <c r="C83" s="886"/>
      <c r="D83" s="533" t="s">
        <v>70</v>
      </c>
      <c r="E83" s="54"/>
      <c r="F83" s="40"/>
      <c r="G83" s="280" t="s">
        <v>229</v>
      </c>
      <c r="H83" s="291">
        <v>44162</v>
      </c>
      <c r="I83" s="291" t="s">
        <v>375</v>
      </c>
      <c r="J83" s="280" t="s">
        <v>271</v>
      </c>
      <c r="K83" s="280" t="s">
        <v>54</v>
      </c>
      <c r="L83" s="280" t="s">
        <v>365</v>
      </c>
      <c r="M83" s="292">
        <v>115.17619000980855</v>
      </c>
      <c r="N83" s="280" t="s">
        <v>280</v>
      </c>
      <c r="O83" s="538">
        <v>7371276.160627747</v>
      </c>
      <c r="P83" s="538">
        <f t="shared" si="13"/>
        <v>64000</v>
      </c>
      <c r="Q83" s="538">
        <v>9680648.6400000006</v>
      </c>
      <c r="R83" s="375">
        <f t="shared" si="14"/>
        <v>-0.2385555519317199</v>
      </c>
      <c r="S83" s="294"/>
      <c r="T83" s="293"/>
      <c r="U83" s="293"/>
      <c r="V83" s="293"/>
      <c r="W83" s="293"/>
      <c r="X83" s="293"/>
      <c r="Y83" s="293"/>
      <c r="Z83" s="293"/>
      <c r="AA83" s="283"/>
      <c r="AB83" s="283"/>
      <c r="AC83" s="283">
        <f t="shared" si="12"/>
        <v>7371276.160627747</v>
      </c>
      <c r="AD83" s="283"/>
      <c r="AE83" s="295">
        <f t="shared" si="9"/>
        <v>7371276.160627747</v>
      </c>
      <c r="AF83" s="539" t="s">
        <v>305</v>
      </c>
    </row>
    <row r="84" spans="2:32" ht="24.95" customHeight="1" x14ac:dyDescent="0.25">
      <c r="B84" s="2"/>
      <c r="C84" s="886"/>
      <c r="D84" s="533" t="s">
        <v>70</v>
      </c>
      <c r="E84" s="54"/>
      <c r="F84" s="40"/>
      <c r="G84" s="280" t="s">
        <v>229</v>
      </c>
      <c r="H84" s="291">
        <v>44162</v>
      </c>
      <c r="I84" s="291" t="s">
        <v>375</v>
      </c>
      <c r="J84" s="280" t="s">
        <v>267</v>
      </c>
      <c r="K84" s="280" t="s">
        <v>54</v>
      </c>
      <c r="L84" s="280" t="s">
        <v>365</v>
      </c>
      <c r="M84" s="292">
        <v>63.372481107890145</v>
      </c>
      <c r="N84" s="280" t="s">
        <v>280</v>
      </c>
      <c r="O84" s="538">
        <v>4055838.790904969</v>
      </c>
      <c r="P84" s="538">
        <f t="shared" si="13"/>
        <v>63999.999999999993</v>
      </c>
      <c r="Q84" s="538">
        <v>5069600</v>
      </c>
      <c r="R84" s="375">
        <f t="shared" si="14"/>
        <v>-0.19996867782370029</v>
      </c>
      <c r="S84" s="294"/>
      <c r="T84" s="293"/>
      <c r="U84" s="293"/>
      <c r="V84" s="293"/>
      <c r="W84" s="293"/>
      <c r="X84" s="293"/>
      <c r="Y84" s="293"/>
      <c r="Z84" s="293"/>
      <c r="AA84" s="283"/>
      <c r="AB84" s="283"/>
      <c r="AC84" s="283">
        <f t="shared" si="12"/>
        <v>4055838.790904969</v>
      </c>
      <c r="AD84" s="283"/>
      <c r="AE84" s="295">
        <f t="shared" si="9"/>
        <v>4055838.790904969</v>
      </c>
      <c r="AF84" s="539" t="s">
        <v>305</v>
      </c>
    </row>
    <row r="85" spans="2:32" ht="24.95" customHeight="1" x14ac:dyDescent="0.25">
      <c r="B85" s="2"/>
      <c r="C85" s="886"/>
      <c r="D85" s="533" t="s">
        <v>70</v>
      </c>
      <c r="E85" s="54"/>
      <c r="F85" s="40"/>
      <c r="G85" s="280" t="s">
        <v>229</v>
      </c>
      <c r="H85" s="291">
        <v>44162</v>
      </c>
      <c r="I85" s="291" t="s">
        <v>375</v>
      </c>
      <c r="J85" s="280" t="s">
        <v>206</v>
      </c>
      <c r="K85" s="280" t="s">
        <v>54</v>
      </c>
      <c r="L85" s="280" t="s">
        <v>365</v>
      </c>
      <c r="M85" s="292">
        <v>63.372481107890145</v>
      </c>
      <c r="N85" s="280" t="s">
        <v>280</v>
      </c>
      <c r="O85" s="538">
        <v>4055838.790904969</v>
      </c>
      <c r="P85" s="538">
        <f t="shared" si="13"/>
        <v>63999.999999999993</v>
      </c>
      <c r="Q85" s="538">
        <v>5069600</v>
      </c>
      <c r="R85" s="375">
        <f t="shared" si="14"/>
        <v>-0.19996867782370029</v>
      </c>
      <c r="S85" s="294"/>
      <c r="T85" s="293"/>
      <c r="U85" s="293"/>
      <c r="V85" s="293"/>
      <c r="W85" s="293"/>
      <c r="X85" s="293"/>
      <c r="Y85" s="293"/>
      <c r="Z85" s="293"/>
      <c r="AA85" s="283"/>
      <c r="AB85" s="283"/>
      <c r="AC85" s="283">
        <f t="shared" si="12"/>
        <v>4055838.790904969</v>
      </c>
      <c r="AD85" s="283"/>
      <c r="AE85" s="295">
        <f t="shared" si="9"/>
        <v>4055838.790904969</v>
      </c>
      <c r="AF85" s="539" t="s">
        <v>305</v>
      </c>
    </row>
    <row r="86" spans="2:32" ht="24.95" customHeight="1" x14ac:dyDescent="0.25">
      <c r="B86" s="2"/>
      <c r="C86" s="886"/>
      <c r="D86" s="533" t="s">
        <v>70</v>
      </c>
      <c r="E86" s="54"/>
      <c r="F86" s="40"/>
      <c r="G86" s="280" t="s">
        <v>229</v>
      </c>
      <c r="H86" s="291">
        <v>44162</v>
      </c>
      <c r="I86" s="291" t="s">
        <v>375</v>
      </c>
      <c r="J86" s="280" t="s">
        <v>207</v>
      </c>
      <c r="K86" s="280" t="s">
        <v>54</v>
      </c>
      <c r="L86" s="280" t="s">
        <v>365</v>
      </c>
      <c r="M86" s="292">
        <v>69.752130534459056</v>
      </c>
      <c r="N86" s="280" t="s">
        <v>280</v>
      </c>
      <c r="O86" s="538">
        <v>4464136.3542053793</v>
      </c>
      <c r="P86" s="538">
        <f t="shared" si="13"/>
        <v>63999.999999999993</v>
      </c>
      <c r="Q86" s="538">
        <v>5580000</v>
      </c>
      <c r="R86" s="375">
        <f t="shared" si="14"/>
        <v>-0.19997556376247683</v>
      </c>
      <c r="S86" s="294"/>
      <c r="T86" s="293"/>
      <c r="U86" s="293"/>
      <c r="V86" s="293"/>
      <c r="W86" s="293"/>
      <c r="X86" s="293"/>
      <c r="Y86" s="293"/>
      <c r="Z86" s="293"/>
      <c r="AA86" s="283"/>
      <c r="AB86" s="283"/>
      <c r="AC86" s="283">
        <f t="shared" si="12"/>
        <v>4464136.3542053793</v>
      </c>
      <c r="AD86" s="283"/>
      <c r="AE86" s="295">
        <f t="shared" si="9"/>
        <v>4464136.3542053793</v>
      </c>
      <c r="AF86" s="539" t="s">
        <v>305</v>
      </c>
    </row>
    <row r="87" spans="2:32" ht="24.95" customHeight="1" x14ac:dyDescent="0.25">
      <c r="B87" s="2"/>
      <c r="C87" s="886"/>
      <c r="D87" s="533" t="s">
        <v>70</v>
      </c>
      <c r="E87" s="54"/>
      <c r="F87" s="40"/>
      <c r="G87" s="280" t="s">
        <v>229</v>
      </c>
      <c r="H87" s="291">
        <v>44162</v>
      </c>
      <c r="I87" s="291" t="s">
        <v>375</v>
      </c>
      <c r="J87" s="280" t="s">
        <v>204</v>
      </c>
      <c r="K87" s="280" t="s">
        <v>54</v>
      </c>
      <c r="L87" s="280" t="s">
        <v>365</v>
      </c>
      <c r="M87" s="292">
        <v>35.289155673899955</v>
      </c>
      <c r="N87" s="280" t="s">
        <v>280</v>
      </c>
      <c r="O87" s="538">
        <v>2258505.9631295973</v>
      </c>
      <c r="P87" s="538">
        <f t="shared" si="13"/>
        <v>64000</v>
      </c>
      <c r="Q87" s="538">
        <v>2823200</v>
      </c>
      <c r="R87" s="375">
        <f t="shared" si="14"/>
        <v>-0.20001914029130163</v>
      </c>
      <c r="S87" s="294"/>
      <c r="T87" s="293"/>
      <c r="U87" s="293"/>
      <c r="V87" s="293"/>
      <c r="W87" s="293"/>
      <c r="X87" s="293"/>
      <c r="Y87" s="293"/>
      <c r="Z87" s="293"/>
      <c r="AA87" s="283"/>
      <c r="AB87" s="283"/>
      <c r="AC87" s="283">
        <f t="shared" si="12"/>
        <v>2258505.9631295973</v>
      </c>
      <c r="AD87" s="283"/>
      <c r="AE87" s="295">
        <f t="shared" si="9"/>
        <v>2258505.9631295973</v>
      </c>
      <c r="AF87" s="539" t="s">
        <v>305</v>
      </c>
    </row>
    <row r="88" spans="2:32" ht="24.95" customHeight="1" x14ac:dyDescent="0.25">
      <c r="B88" s="2"/>
      <c r="C88" s="886"/>
      <c r="D88" s="533" t="s">
        <v>70</v>
      </c>
      <c r="E88" s="54"/>
      <c r="F88" s="40"/>
      <c r="G88" s="280" t="s">
        <v>229</v>
      </c>
      <c r="H88" s="291">
        <v>44162</v>
      </c>
      <c r="I88" s="291" t="s">
        <v>375</v>
      </c>
      <c r="J88" s="280" t="s">
        <v>225</v>
      </c>
      <c r="K88" s="280" t="s">
        <v>54</v>
      </c>
      <c r="L88" s="280" t="s">
        <v>365</v>
      </c>
      <c r="M88" s="292">
        <v>46.104657712134518</v>
      </c>
      <c r="N88" s="280" t="s">
        <v>280</v>
      </c>
      <c r="O88" s="538">
        <v>2950698.0935766092</v>
      </c>
      <c r="P88" s="538">
        <f t="shared" si="13"/>
        <v>64000</v>
      </c>
      <c r="Q88" s="538">
        <v>3688000</v>
      </c>
      <c r="R88" s="375">
        <f t="shared" si="14"/>
        <v>-0.199919172023696</v>
      </c>
      <c r="S88" s="294"/>
      <c r="T88" s="293"/>
      <c r="U88" s="293"/>
      <c r="V88" s="293"/>
      <c r="W88" s="293"/>
      <c r="X88" s="293"/>
      <c r="Y88" s="293"/>
      <c r="Z88" s="293"/>
      <c r="AA88" s="283"/>
      <c r="AB88" s="283"/>
      <c r="AC88" s="283">
        <f t="shared" si="12"/>
        <v>2950698.0935766092</v>
      </c>
      <c r="AD88" s="283"/>
      <c r="AE88" s="295">
        <f t="shared" si="9"/>
        <v>2950698.0935766092</v>
      </c>
      <c r="AF88" s="539" t="s">
        <v>305</v>
      </c>
    </row>
    <row r="89" spans="2:32" ht="24.95" customHeight="1" x14ac:dyDescent="0.25">
      <c r="B89" s="2"/>
      <c r="C89" s="886"/>
      <c r="D89" s="533" t="s">
        <v>70</v>
      </c>
      <c r="E89" s="54"/>
      <c r="F89" s="40"/>
      <c r="G89" s="280" t="s">
        <v>229</v>
      </c>
      <c r="H89" s="291">
        <v>44162</v>
      </c>
      <c r="I89" s="291" t="s">
        <v>375</v>
      </c>
      <c r="J89" s="280" t="s">
        <v>116</v>
      </c>
      <c r="K89" s="280" t="s">
        <v>54</v>
      </c>
      <c r="L89" s="280" t="s">
        <v>365</v>
      </c>
      <c r="M89" s="292">
        <v>46.021720220423724</v>
      </c>
      <c r="N89" s="280" t="s">
        <v>280</v>
      </c>
      <c r="O89" s="538">
        <v>2945390.0941071184</v>
      </c>
      <c r="P89" s="538">
        <f t="shared" si="13"/>
        <v>64000</v>
      </c>
      <c r="Q89" s="538">
        <v>3681600.0000000005</v>
      </c>
      <c r="R89" s="375">
        <f t="shared" si="14"/>
        <v>-0.19997009612475064</v>
      </c>
      <c r="S89" s="294"/>
      <c r="T89" s="293"/>
      <c r="U89" s="293"/>
      <c r="V89" s="293"/>
      <c r="W89" s="293"/>
      <c r="X89" s="293"/>
      <c r="Y89" s="293"/>
      <c r="Z89" s="293"/>
      <c r="AA89" s="283"/>
      <c r="AB89" s="283"/>
      <c r="AC89" s="283">
        <f t="shared" si="12"/>
        <v>2945390.0941071184</v>
      </c>
      <c r="AD89" s="283"/>
      <c r="AE89" s="295">
        <f t="shared" si="9"/>
        <v>2945390.0941071184</v>
      </c>
      <c r="AF89" s="539" t="s">
        <v>305</v>
      </c>
    </row>
    <row r="90" spans="2:32" ht="24.95" customHeight="1" x14ac:dyDescent="0.25">
      <c r="B90" s="2"/>
      <c r="C90" s="886"/>
      <c r="D90" s="533" t="s">
        <v>70</v>
      </c>
      <c r="E90" s="54"/>
      <c r="F90" s="40"/>
      <c r="G90" s="280" t="s">
        <v>229</v>
      </c>
      <c r="H90" s="291">
        <v>44162</v>
      </c>
      <c r="I90" s="291" t="s">
        <v>375</v>
      </c>
      <c r="J90" s="280" t="s">
        <v>361</v>
      </c>
      <c r="K90" s="280" t="s">
        <v>54</v>
      </c>
      <c r="L90" s="280" t="s">
        <v>365</v>
      </c>
      <c r="M90" s="292">
        <v>44.582026050343003</v>
      </c>
      <c r="N90" s="280" t="s">
        <v>280</v>
      </c>
      <c r="O90" s="538">
        <v>2853249.6672219522</v>
      </c>
      <c r="P90" s="538">
        <f t="shared" si="13"/>
        <v>64000</v>
      </c>
      <c r="Q90" s="538">
        <v>3566400</v>
      </c>
      <c r="R90" s="375">
        <f t="shared" si="14"/>
        <v>-0.19996364198576935</v>
      </c>
      <c r="S90" s="294"/>
      <c r="T90" s="293"/>
      <c r="U90" s="293"/>
      <c r="V90" s="293"/>
      <c r="W90" s="293"/>
      <c r="X90" s="293"/>
      <c r="Y90" s="293"/>
      <c r="Z90" s="293"/>
      <c r="AA90" s="283"/>
      <c r="AB90" s="283"/>
      <c r="AC90" s="283">
        <f t="shared" si="12"/>
        <v>2853249.6672219522</v>
      </c>
      <c r="AD90" s="283"/>
      <c r="AE90" s="295">
        <f t="shared" si="9"/>
        <v>2853249.6672219522</v>
      </c>
      <c r="AF90" s="539" t="s">
        <v>305</v>
      </c>
    </row>
    <row r="91" spans="2:32" ht="24.95" customHeight="1" x14ac:dyDescent="0.25">
      <c r="B91" s="2"/>
      <c r="C91" s="886"/>
      <c r="D91" s="533" t="s">
        <v>70</v>
      </c>
      <c r="E91" s="54"/>
      <c r="F91" s="40"/>
      <c r="G91" s="280" t="s">
        <v>229</v>
      </c>
      <c r="H91" s="291">
        <v>44162</v>
      </c>
      <c r="I91" s="291" t="s">
        <v>375</v>
      </c>
      <c r="J91" s="280" t="s">
        <v>362</v>
      </c>
      <c r="K91" s="280" t="s">
        <v>54</v>
      </c>
      <c r="L91" s="280" t="s">
        <v>365</v>
      </c>
      <c r="M91" s="292">
        <v>44.754378728322344</v>
      </c>
      <c r="N91" s="280" t="s">
        <v>280</v>
      </c>
      <c r="O91" s="538">
        <v>2864280.2386126299</v>
      </c>
      <c r="P91" s="538">
        <f t="shared" si="13"/>
        <v>64000</v>
      </c>
      <c r="Q91" s="538">
        <v>3580000</v>
      </c>
      <c r="R91" s="375">
        <f t="shared" si="14"/>
        <v>-0.19992172105792461</v>
      </c>
      <c r="S91" s="294"/>
      <c r="T91" s="293"/>
      <c r="U91" s="293"/>
      <c r="V91" s="293"/>
      <c r="W91" s="293"/>
      <c r="X91" s="293"/>
      <c r="Y91" s="293"/>
      <c r="Z91" s="293"/>
      <c r="AA91" s="283"/>
      <c r="AB91" s="283"/>
      <c r="AC91" s="283">
        <f t="shared" si="12"/>
        <v>2864280.2386126299</v>
      </c>
      <c r="AD91" s="283"/>
      <c r="AE91" s="295">
        <f t="shared" si="9"/>
        <v>2864280.2386126299</v>
      </c>
      <c r="AF91" s="539" t="s">
        <v>305</v>
      </c>
    </row>
    <row r="92" spans="2:32" ht="24.95" customHeight="1" x14ac:dyDescent="0.25">
      <c r="B92" s="2"/>
      <c r="C92" s="886"/>
      <c r="D92" s="533" t="s">
        <v>70</v>
      </c>
      <c r="E92" s="54"/>
      <c r="F92" s="40"/>
      <c r="G92" s="280" t="s">
        <v>229</v>
      </c>
      <c r="H92" s="291">
        <v>44162</v>
      </c>
      <c r="I92" s="291" t="s">
        <v>375</v>
      </c>
      <c r="J92" s="280" t="s">
        <v>363</v>
      </c>
      <c r="K92" s="280" t="s">
        <v>54</v>
      </c>
      <c r="L92" s="280" t="s">
        <v>365</v>
      </c>
      <c r="M92" s="292">
        <v>73.207978671773532</v>
      </c>
      <c r="N92" s="280" t="s">
        <v>280</v>
      </c>
      <c r="O92" s="538">
        <v>4685310.6349935066</v>
      </c>
      <c r="P92" s="538">
        <f t="shared" si="13"/>
        <v>64000.000000000007</v>
      </c>
      <c r="Q92" s="538">
        <v>5856799.9999999991</v>
      </c>
      <c r="R92" s="375">
        <f t="shared" si="14"/>
        <v>-0.20002208800138174</v>
      </c>
      <c r="S92" s="294"/>
      <c r="T92" s="293"/>
      <c r="U92" s="293"/>
      <c r="V92" s="293"/>
      <c r="W92" s="293"/>
      <c r="X92" s="293"/>
      <c r="Y92" s="293"/>
      <c r="Z92" s="293"/>
      <c r="AA92" s="283"/>
      <c r="AB92" s="283"/>
      <c r="AC92" s="283">
        <f t="shared" si="12"/>
        <v>4685310.6349935066</v>
      </c>
      <c r="AD92" s="283"/>
      <c r="AE92" s="295">
        <f>SUM(S92:AD92)</f>
        <v>4685310.6349935066</v>
      </c>
      <c r="AF92" s="539" t="s">
        <v>305</v>
      </c>
    </row>
    <row r="93" spans="2:32" ht="24.95" customHeight="1" x14ac:dyDescent="0.25">
      <c r="B93" s="2"/>
      <c r="C93" s="886"/>
      <c r="D93" s="533" t="s">
        <v>79</v>
      </c>
      <c r="E93" s="54"/>
      <c r="F93" s="40"/>
      <c r="G93" s="228" t="s">
        <v>364</v>
      </c>
      <c r="H93" s="409">
        <v>44162</v>
      </c>
      <c r="I93" s="409" t="s">
        <v>68</v>
      </c>
      <c r="J93" s="228" t="s">
        <v>178</v>
      </c>
      <c r="K93" s="228" t="s">
        <v>54</v>
      </c>
      <c r="L93" s="228" t="s">
        <v>44</v>
      </c>
      <c r="M93" s="228">
        <v>41.35</v>
      </c>
      <c r="N93" s="228" t="s">
        <v>281</v>
      </c>
      <c r="O93" s="428">
        <v>3821912</v>
      </c>
      <c r="P93" s="538">
        <f t="shared" si="13"/>
        <v>92428.343409915353</v>
      </c>
      <c r="Q93" s="538">
        <v>3702297</v>
      </c>
      <c r="R93" s="375">
        <f t="shared" si="14"/>
        <v>3.2308321023407902E-2</v>
      </c>
      <c r="S93" s="294"/>
      <c r="T93" s="293"/>
      <c r="U93" s="293"/>
      <c r="V93" s="293"/>
      <c r="W93" s="293"/>
      <c r="X93" s="293"/>
      <c r="Y93" s="293"/>
      <c r="Z93" s="293"/>
      <c r="AA93" s="283"/>
      <c r="AB93" s="283"/>
      <c r="AC93" s="283">
        <v>2880000</v>
      </c>
      <c r="AD93" s="283"/>
      <c r="AE93" s="295">
        <f t="shared" si="9"/>
        <v>2880000</v>
      </c>
      <c r="AF93" s="537" t="s">
        <v>366</v>
      </c>
    </row>
    <row r="94" spans="2:32" ht="24.95" customHeight="1" thickBot="1" x14ac:dyDescent="0.3">
      <c r="B94" s="2"/>
      <c r="C94" s="886"/>
      <c r="D94" s="533" t="s">
        <v>79</v>
      </c>
      <c r="E94" s="54"/>
      <c r="F94" s="40"/>
      <c r="G94" s="544" t="s">
        <v>367</v>
      </c>
      <c r="H94" s="545">
        <v>44165</v>
      </c>
      <c r="I94" s="545" t="s">
        <v>68</v>
      </c>
      <c r="J94" s="544" t="s">
        <v>368</v>
      </c>
      <c r="K94" s="544" t="s">
        <v>54</v>
      </c>
      <c r="L94" s="544" t="s">
        <v>44</v>
      </c>
      <c r="M94" s="544">
        <v>56</v>
      </c>
      <c r="N94" s="544" t="s">
        <v>281</v>
      </c>
      <c r="O94" s="534">
        <v>5197560</v>
      </c>
      <c r="P94" s="534">
        <f t="shared" si="13"/>
        <v>92813.571428571435</v>
      </c>
      <c r="Q94" s="546">
        <v>4918489</v>
      </c>
      <c r="R94" s="543">
        <f t="shared" si="14"/>
        <v>5.6739173351815976E-2</v>
      </c>
      <c r="S94" s="346"/>
      <c r="T94" s="345"/>
      <c r="U94" s="535"/>
      <c r="V94" s="535"/>
      <c r="W94" s="535"/>
      <c r="X94" s="535"/>
      <c r="Y94" s="535"/>
      <c r="Z94" s="535"/>
      <c r="AA94" s="536"/>
      <c r="AB94" s="536"/>
      <c r="AC94" s="536">
        <v>3000000</v>
      </c>
      <c r="AD94" s="536"/>
      <c r="AE94" s="547">
        <f t="shared" si="9"/>
        <v>3000000</v>
      </c>
      <c r="AF94" s="312" t="s">
        <v>369</v>
      </c>
    </row>
    <row r="95" spans="2:32" ht="24.95" customHeight="1" x14ac:dyDescent="0.25">
      <c r="B95" s="2"/>
      <c r="C95" s="885" t="s">
        <v>35</v>
      </c>
      <c r="D95" s="548" t="s">
        <v>70</v>
      </c>
      <c r="E95" s="549" t="s">
        <v>110</v>
      </c>
      <c r="F95" s="46" t="s">
        <v>71</v>
      </c>
      <c r="G95" s="46" t="s">
        <v>146</v>
      </c>
      <c r="H95" s="190">
        <v>44194</v>
      </c>
      <c r="I95" s="190" t="s">
        <v>68</v>
      </c>
      <c r="J95" s="190" t="s">
        <v>370</v>
      </c>
      <c r="K95" s="190" t="s">
        <v>54</v>
      </c>
      <c r="L95" s="190" t="s">
        <v>44</v>
      </c>
      <c r="M95" s="191">
        <v>56</v>
      </c>
      <c r="N95" s="46" t="s">
        <v>280</v>
      </c>
      <c r="O95" s="192">
        <v>5017600</v>
      </c>
      <c r="P95" s="192">
        <f>O95/M95</f>
        <v>89600</v>
      </c>
      <c r="Q95" s="192">
        <v>5017600</v>
      </c>
      <c r="R95" s="385">
        <f t="shared" si="14"/>
        <v>0</v>
      </c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25"/>
      <c r="AD95" s="420">
        <f>+O95</f>
        <v>5017600</v>
      </c>
      <c r="AE95" s="420">
        <f>SUM(U95:AD95)</f>
        <v>5017600</v>
      </c>
      <c r="AF95" s="451" t="s">
        <v>371</v>
      </c>
    </row>
    <row r="96" spans="2:32" ht="25.5" customHeight="1" thickBot="1" x14ac:dyDescent="0.3">
      <c r="B96" s="2"/>
      <c r="C96" s="888"/>
      <c r="D96" s="550" t="s">
        <v>70</v>
      </c>
      <c r="E96" s="551" t="s">
        <v>110</v>
      </c>
      <c r="F96" s="469" t="s">
        <v>71</v>
      </c>
      <c r="G96" s="469" t="s">
        <v>146</v>
      </c>
      <c r="H96" s="552">
        <v>44194</v>
      </c>
      <c r="I96" s="552" t="s">
        <v>68</v>
      </c>
      <c r="J96" s="552" t="s">
        <v>228</v>
      </c>
      <c r="K96" s="552" t="s">
        <v>54</v>
      </c>
      <c r="L96" s="552" t="s">
        <v>44</v>
      </c>
      <c r="M96" s="553">
        <v>104.43</v>
      </c>
      <c r="N96" s="469" t="s">
        <v>281</v>
      </c>
      <c r="O96" s="554">
        <v>9855285</v>
      </c>
      <c r="P96" s="554">
        <f>O96/M96</f>
        <v>94372.163171502441</v>
      </c>
      <c r="Q96" s="196">
        <v>8948549</v>
      </c>
      <c r="R96" s="384">
        <f t="shared" si="14"/>
        <v>0.10132771245930486</v>
      </c>
      <c r="S96" s="554"/>
      <c r="T96" s="554"/>
      <c r="U96" s="554"/>
      <c r="V96" s="554"/>
      <c r="W96" s="554"/>
      <c r="X96" s="554"/>
      <c r="Y96" s="554"/>
      <c r="Z96" s="554"/>
      <c r="AA96" s="554"/>
      <c r="AB96" s="554"/>
      <c r="AC96" s="472"/>
      <c r="AD96" s="474">
        <v>3500000</v>
      </c>
      <c r="AE96" s="143">
        <f>SUM(U96:AD96)</f>
        <v>3500000</v>
      </c>
      <c r="AF96" s="475" t="s">
        <v>372</v>
      </c>
    </row>
    <row r="97" spans="2:33" x14ac:dyDescent="0.25">
      <c r="B97" s="4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9"/>
    </row>
    <row r="98" spans="2:33" x14ac:dyDescent="0.25">
      <c r="B98" s="2"/>
      <c r="M98" s="361">
        <f>SUM(M9:M97)</f>
        <v>4975.1853996338878</v>
      </c>
      <c r="N98" s="361"/>
      <c r="O98" s="8">
        <f>SUM(O9:O97)</f>
        <v>334665571.84422845</v>
      </c>
      <c r="P98" s="8">
        <f>SUM(P9:P97)</f>
        <v>5882786.730570361</v>
      </c>
      <c r="R98" s="372"/>
      <c r="S98" s="8">
        <f t="shared" ref="S98:X98" si="15">SUM(S9:S50)</f>
        <v>19308445.450000003</v>
      </c>
      <c r="T98" s="8">
        <f t="shared" si="15"/>
        <v>2348500</v>
      </c>
      <c r="U98" s="8">
        <f t="shared" si="15"/>
        <v>7538000</v>
      </c>
      <c r="V98" s="8">
        <f t="shared" si="15"/>
        <v>0</v>
      </c>
      <c r="W98" s="8">
        <f t="shared" si="15"/>
        <v>25347994.999999996</v>
      </c>
      <c r="X98" s="8">
        <f t="shared" si="15"/>
        <v>25801120</v>
      </c>
      <c r="Y98" s="8">
        <f>SUM(Y9:Y51)</f>
        <v>15668808</v>
      </c>
      <c r="Z98" s="8">
        <f>SUM(Z9:Z97)</f>
        <v>5976000</v>
      </c>
      <c r="AA98" s="8">
        <f>SUM(AA9:AA97)</f>
        <v>71929524.000000015</v>
      </c>
      <c r="AB98" s="8">
        <f>SUM(AB9:AB45)</f>
        <v>0</v>
      </c>
      <c r="AC98" s="8">
        <f>SUM(AC9:AC97)</f>
        <v>89401049.576568961</v>
      </c>
      <c r="AD98" s="8">
        <f>SUM(AD9:AD97)</f>
        <v>8517600</v>
      </c>
      <c r="AE98" s="13">
        <f>SUM(S98:AD98)</f>
        <v>271837042.02656901</v>
      </c>
      <c r="AF98" s="10">
        <f>+SUM(AE9:AE97)-AE98</f>
        <v>0</v>
      </c>
    </row>
    <row r="99" spans="2:33" x14ac:dyDescent="0.25">
      <c r="B99" s="2"/>
      <c r="M99" s="14"/>
      <c r="N99" s="14"/>
      <c r="O99" s="8"/>
      <c r="R99" s="372"/>
      <c r="S99" s="172"/>
      <c r="AE99" s="58"/>
      <c r="AF99" s="10"/>
    </row>
    <row r="100" spans="2:33" x14ac:dyDescent="0.25">
      <c r="B100" s="2"/>
      <c r="M100" s="14"/>
      <c r="N100" s="14"/>
      <c r="O100" s="8"/>
      <c r="P100" s="390"/>
      <c r="Q100" s="604"/>
      <c r="R100" s="605"/>
      <c r="S100" s="176"/>
      <c r="AE100" s="58"/>
      <c r="AF100" s="10"/>
    </row>
    <row r="101" spans="2:33" x14ac:dyDescent="0.25">
      <c r="B101" s="2"/>
      <c r="Q101" s="390"/>
      <c r="R101" s="606"/>
      <c r="S101" s="607"/>
      <c r="T101" s="176"/>
      <c r="AF101" s="58"/>
    </row>
    <row r="102" spans="2:33" x14ac:dyDescent="0.25">
      <c r="B102" s="2"/>
      <c r="G102" s="7"/>
      <c r="I102"/>
      <c r="M102" s="14"/>
      <c r="N102" s="8"/>
      <c r="O102" s="8"/>
      <c r="Q102" s="176"/>
      <c r="R102" s="608"/>
      <c r="S102" s="608"/>
      <c r="T102" s="176"/>
      <c r="AE102" s="58"/>
      <c r="AF102" s="10"/>
    </row>
    <row r="103" spans="2:33" x14ac:dyDescent="0.25">
      <c r="B103" s="2"/>
      <c r="F103" s="54"/>
      <c r="G103" s="7"/>
      <c r="I103"/>
      <c r="M103" s="14"/>
      <c r="N103" s="8"/>
      <c r="O103" s="8"/>
      <c r="Q103" s="176"/>
      <c r="R103" s="608"/>
      <c r="S103" s="608"/>
      <c r="T103" s="176"/>
      <c r="AE103" s="58"/>
      <c r="AF103" s="10"/>
    </row>
    <row r="104" spans="2:33" x14ac:dyDescent="0.25">
      <c r="B104" s="2"/>
      <c r="F104" s="54"/>
      <c r="G104" s="7"/>
      <c r="I104"/>
      <c r="M104" s="14"/>
      <c r="N104" s="8"/>
      <c r="O104" s="8"/>
      <c r="Q104" s="172"/>
      <c r="S104" s="386"/>
      <c r="AE104" s="58"/>
      <c r="AF104" s="10"/>
    </row>
    <row r="105" spans="2:33" ht="15.75" thickBot="1" x14ac:dyDescent="0.3">
      <c r="B105" s="2"/>
      <c r="F105" s="54"/>
      <c r="G105" s="7"/>
      <c r="I105"/>
      <c r="M105" s="14"/>
      <c r="N105" s="8"/>
      <c r="O105" s="8"/>
      <c r="P105" s="61"/>
      <c r="Q105" s="315"/>
      <c r="S105" s="316"/>
      <c r="AE105" s="58"/>
      <c r="AF105" s="10"/>
    </row>
    <row r="106" spans="2:33" x14ac:dyDescent="0.25">
      <c r="B106" s="2"/>
      <c r="F106" s="54"/>
      <c r="G106" s="132"/>
      <c r="H106" s="74"/>
      <c r="I106" s="73"/>
      <c r="J106" s="73"/>
      <c r="K106" s="73"/>
      <c r="L106" s="73"/>
      <c r="M106" s="75"/>
      <c r="N106" s="59"/>
      <c r="O106" s="59"/>
      <c r="P106" s="59"/>
      <c r="Q106" s="314">
        <v>44561</v>
      </c>
      <c r="S106" s="387"/>
      <c r="AE106" s="58"/>
      <c r="AF106" s="10"/>
    </row>
    <row r="107" spans="2:33" ht="15" customHeight="1" x14ac:dyDescent="0.25">
      <c r="B107" s="2"/>
      <c r="F107" s="54"/>
      <c r="G107" s="133"/>
      <c r="H107" s="798" t="s">
        <v>262</v>
      </c>
      <c r="I107" s="798"/>
      <c r="J107" s="798"/>
      <c r="K107" s="798"/>
      <c r="L107" s="798"/>
      <c r="M107" s="798"/>
      <c r="N107" s="798"/>
      <c r="O107" s="798"/>
      <c r="P107" s="798"/>
      <c r="Q107" s="174"/>
      <c r="S107" s="316"/>
      <c r="AE107" s="58"/>
      <c r="AF107" s="10"/>
    </row>
    <row r="108" spans="2:33" ht="15" customHeight="1" thickBot="1" x14ac:dyDescent="0.3">
      <c r="B108" s="2"/>
      <c r="F108" s="54"/>
      <c r="G108" s="133"/>
      <c r="H108" s="131"/>
      <c r="I108" s="131"/>
      <c r="J108" s="131"/>
      <c r="K108" s="131"/>
      <c r="L108" s="131"/>
      <c r="M108" s="131"/>
      <c r="N108" s="131"/>
      <c r="O108" s="131"/>
      <c r="P108" s="131"/>
      <c r="Q108" s="174"/>
      <c r="S108" s="316"/>
      <c r="AE108" s="58"/>
      <c r="AF108" s="10"/>
    </row>
    <row r="109" spans="2:33" ht="15.75" thickBot="1" x14ac:dyDescent="0.3">
      <c r="B109" s="2"/>
      <c r="F109" s="54"/>
      <c r="G109" s="134"/>
      <c r="H109" s="80"/>
      <c r="I109" s="79"/>
      <c r="J109" s="79"/>
      <c r="K109" s="79"/>
      <c r="L109" s="79"/>
      <c r="N109" s="392"/>
      <c r="O109" s="392" t="s">
        <v>349</v>
      </c>
      <c r="P109" s="393">
        <f>+AD98</f>
        <v>8517600</v>
      </c>
      <c r="Q109" s="174"/>
      <c r="S109" s="316"/>
      <c r="AE109" s="173"/>
      <c r="AF109"/>
      <c r="AG109" s="6"/>
    </row>
    <row r="110" spans="2:33" x14ac:dyDescent="0.25">
      <c r="B110" s="2"/>
      <c r="F110" s="54"/>
      <c r="G110" s="134"/>
      <c r="H110" s="80"/>
      <c r="I110" s="79"/>
      <c r="J110" s="79"/>
      <c r="K110" s="79"/>
      <c r="P110" s="315"/>
      <c r="Q110" s="174"/>
      <c r="S110" s="172"/>
      <c r="AD110" s="173"/>
      <c r="AE110" s="2"/>
      <c r="AF110"/>
    </row>
    <row r="111" spans="2:33" ht="15.75" thickBot="1" x14ac:dyDescent="0.3">
      <c r="B111" s="2"/>
      <c r="F111" s="54"/>
      <c r="G111" s="135"/>
      <c r="H111" s="80"/>
      <c r="I111" s="79"/>
      <c r="J111" s="81"/>
      <c r="K111" s="81"/>
      <c r="L111" s="81"/>
      <c r="M111" s="81"/>
      <c r="N111" s="81"/>
      <c r="O111" s="61"/>
      <c r="P111" s="315"/>
      <c r="Q111" s="174"/>
      <c r="S111" s="172"/>
      <c r="AD111" s="173"/>
      <c r="AE111" s="2"/>
      <c r="AF111"/>
      <c r="AG111" s="2"/>
    </row>
    <row r="112" spans="2:33" ht="15.75" thickBot="1" x14ac:dyDescent="0.3">
      <c r="B112" s="2"/>
      <c r="F112" s="54"/>
      <c r="G112" s="134"/>
      <c r="H112" s="80"/>
      <c r="I112" s="79"/>
      <c r="J112" s="807" t="s">
        <v>266</v>
      </c>
      <c r="K112" s="808"/>
      <c r="L112" s="809"/>
      <c r="M112" s="891">
        <f>+O98</f>
        <v>334665571.84422845</v>
      </c>
      <c r="N112" s="813"/>
      <c r="O112" s="61"/>
      <c r="P112" s="315"/>
      <c r="Q112" s="174"/>
      <c r="S112" s="172"/>
      <c r="AD112" s="173"/>
      <c r="AE112" s="2"/>
      <c r="AF112"/>
      <c r="AG112" s="2"/>
    </row>
    <row r="113" spans="1:33" ht="15.75" thickBot="1" x14ac:dyDescent="0.3">
      <c r="B113" s="2"/>
      <c r="F113" s="54"/>
      <c r="G113" s="134"/>
      <c r="H113" s="80"/>
      <c r="I113" s="79"/>
      <c r="J113" s="807" t="s">
        <v>42</v>
      </c>
      <c r="K113" s="808"/>
      <c r="L113" s="809"/>
      <c r="M113" s="891">
        <f>+AE98</f>
        <v>271837042.02656901</v>
      </c>
      <c r="N113" s="813"/>
      <c r="O113" s="61"/>
      <c r="P113" s="316"/>
      <c r="Q113" s="175"/>
      <c r="S113" s="172"/>
      <c r="AD113" s="173"/>
      <c r="AE113" s="2"/>
      <c r="AF113"/>
      <c r="AG113" s="2"/>
    </row>
    <row r="114" spans="1:33" s="55" customFormat="1" ht="15.75" thickBot="1" x14ac:dyDescent="0.3">
      <c r="A114"/>
      <c r="B114" s="2"/>
      <c r="C114"/>
      <c r="D114"/>
      <c r="E114" s="154"/>
      <c r="F114" s="54"/>
      <c r="G114" s="136"/>
      <c r="H114" s="84"/>
      <c r="I114" s="85"/>
      <c r="J114" s="85"/>
      <c r="K114" s="85"/>
      <c r="L114" s="86"/>
      <c r="M114" s="86"/>
      <c r="N114" s="83"/>
      <c r="O114" s="61"/>
      <c r="P114" s="316"/>
      <c r="Q114" s="175"/>
      <c r="R114" s="8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6"/>
      <c r="AC114" s="176"/>
      <c r="AD114" s="177"/>
      <c r="AE114" s="54"/>
      <c r="AG114" s="54"/>
    </row>
    <row r="115" spans="1:33" ht="15.75" thickBot="1" x14ac:dyDescent="0.3">
      <c r="B115" s="2"/>
      <c r="F115" s="54"/>
      <c r="G115" s="134"/>
      <c r="H115" s="807"/>
      <c r="I115" s="808"/>
      <c r="J115" s="894"/>
      <c r="K115" s="812" t="s">
        <v>56</v>
      </c>
      <c r="L115" s="811"/>
      <c r="M115" s="812" t="s">
        <v>57</v>
      </c>
      <c r="N115" s="813"/>
      <c r="O115" s="61"/>
      <c r="P115" s="316"/>
      <c r="Q115" s="175"/>
      <c r="S115" s="172"/>
      <c r="AD115" s="173"/>
      <c r="AE115" s="2"/>
      <c r="AF115"/>
      <c r="AG115" s="2"/>
    </row>
    <row r="116" spans="1:33" x14ac:dyDescent="0.25">
      <c r="B116" s="2"/>
      <c r="F116" s="54"/>
      <c r="G116" s="134"/>
      <c r="H116" s="822" t="s">
        <v>54</v>
      </c>
      <c r="I116" s="823"/>
      <c r="J116" s="905"/>
      <c r="K116" s="827">
        <f>+SUMIF(K9:K96,H116,AE9:AE96)</f>
        <v>269348613.56656897</v>
      </c>
      <c r="L116" s="826"/>
      <c r="M116" s="827">
        <f>+SUMIF($K$9:$K$97,H116,$O$9:$O$97)</f>
        <v>330624409.38422853</v>
      </c>
      <c r="N116" s="828"/>
      <c r="O116" s="217">
        <f>+K116+K117-M113</f>
        <v>0</v>
      </c>
      <c r="P116" s="316"/>
      <c r="Q116" s="175"/>
      <c r="S116" s="172"/>
      <c r="AD116" s="173"/>
      <c r="AE116" s="2"/>
      <c r="AF116"/>
      <c r="AG116" s="2"/>
    </row>
    <row r="117" spans="1:33" ht="15.75" thickBot="1" x14ac:dyDescent="0.3">
      <c r="B117" s="2"/>
      <c r="F117" s="54"/>
      <c r="G117" s="134"/>
      <c r="H117" s="829" t="s">
        <v>55</v>
      </c>
      <c r="I117" s="830"/>
      <c r="J117" s="904"/>
      <c r="K117" s="834">
        <f>+SUMIF(K9:K96,H117,AE9:AE97)</f>
        <v>2488428.46</v>
      </c>
      <c r="L117" s="833"/>
      <c r="M117" s="834">
        <f>+SUMIF($K$9:$K$97,H117,$O$9:$O$97)</f>
        <v>4041162.46</v>
      </c>
      <c r="N117" s="835"/>
      <c r="O117" s="217">
        <f>+M116+M117-M112</f>
        <v>0</v>
      </c>
      <c r="P117" s="316"/>
      <c r="Q117" s="175"/>
      <c r="S117" s="172"/>
      <c r="AD117" s="173"/>
      <c r="AE117" s="5"/>
      <c r="AF117"/>
      <c r="AG117" s="2"/>
    </row>
    <row r="118" spans="1:33" x14ac:dyDescent="0.25">
      <c r="B118" s="2"/>
      <c r="F118" s="54"/>
      <c r="G118" s="134"/>
      <c r="H118" s="836" t="s">
        <v>124</v>
      </c>
      <c r="I118" s="837"/>
      <c r="J118" s="903"/>
      <c r="K118" s="841">
        <f>+K116/O125</f>
        <v>22445717.79721408</v>
      </c>
      <c r="L118" s="840"/>
      <c r="M118" s="841">
        <f>+M116/O125</f>
        <v>27552034.115352377</v>
      </c>
      <c r="N118" s="842"/>
      <c r="O118" s="61"/>
      <c r="P118" s="316"/>
      <c r="Q118" s="175"/>
      <c r="S118" s="172"/>
      <c r="AD118" s="173"/>
      <c r="AE118" s="5"/>
      <c r="AF118"/>
      <c r="AG118" s="2"/>
    </row>
    <row r="119" spans="1:33" ht="15.75" thickBot="1" x14ac:dyDescent="0.3">
      <c r="B119" s="2"/>
      <c r="F119" s="54"/>
      <c r="G119" s="134"/>
      <c r="H119" s="843" t="s">
        <v>125</v>
      </c>
      <c r="I119" s="844"/>
      <c r="J119" s="902"/>
      <c r="K119" s="848">
        <f>+K117/O125</f>
        <v>207369.03833333333</v>
      </c>
      <c r="L119" s="847"/>
      <c r="M119" s="848">
        <f>+M117/O125</f>
        <v>336763.53833333333</v>
      </c>
      <c r="N119" s="849"/>
      <c r="O119" s="61"/>
      <c r="P119" s="316"/>
      <c r="Q119" s="175"/>
      <c r="S119" s="172"/>
      <c r="AD119" s="173"/>
      <c r="AE119" s="5"/>
      <c r="AF119"/>
      <c r="AG119" s="2"/>
    </row>
    <row r="120" spans="1:33" ht="15.75" thickBot="1" x14ac:dyDescent="0.3">
      <c r="B120" s="2"/>
      <c r="F120" s="54"/>
      <c r="G120" s="136"/>
      <c r="H120" s="84"/>
      <c r="I120" s="85"/>
      <c r="J120" s="85"/>
      <c r="K120" s="79"/>
      <c r="L120" s="85"/>
      <c r="M120" s="86"/>
      <c r="N120" s="83"/>
      <c r="O120" s="61"/>
      <c r="P120" s="316"/>
      <c r="Q120" s="175"/>
      <c r="S120" s="172"/>
      <c r="AD120" s="173"/>
      <c r="AE120" s="5"/>
      <c r="AF120"/>
      <c r="AG120" s="2"/>
    </row>
    <row r="121" spans="1:33" ht="15.75" thickBot="1" x14ac:dyDescent="0.3">
      <c r="B121" s="2"/>
      <c r="F121" s="54"/>
      <c r="G121" s="134"/>
      <c r="H121" s="80"/>
      <c r="I121" s="85"/>
      <c r="J121" s="897" t="s">
        <v>58</v>
      </c>
      <c r="K121" s="898"/>
      <c r="L121" s="891">
        <f>+M112/O125</f>
        <v>27888797.653685704</v>
      </c>
      <c r="M121" s="810"/>
      <c r="N121" s="813"/>
      <c r="O121" s="61"/>
      <c r="P121" s="316"/>
      <c r="Q121" s="175"/>
      <c r="S121" s="172"/>
      <c r="AD121" s="173"/>
      <c r="AE121"/>
      <c r="AF121"/>
      <c r="AG121" s="2"/>
    </row>
    <row r="122" spans="1:33" ht="15.75" thickBot="1" x14ac:dyDescent="0.3">
      <c r="B122" s="2"/>
      <c r="F122" s="54"/>
      <c r="G122" s="134"/>
      <c r="H122" s="80"/>
      <c r="I122" s="85"/>
      <c r="J122" s="895" t="s">
        <v>41</v>
      </c>
      <c r="K122" s="896"/>
      <c r="L122" s="891">
        <f>+M113/O125</f>
        <v>22653086.835547417</v>
      </c>
      <c r="M122" s="810"/>
      <c r="N122" s="813"/>
      <c r="O122" s="61"/>
      <c r="P122" s="315"/>
      <c r="Q122" s="174"/>
      <c r="S122" s="172"/>
      <c r="AD122" s="173"/>
      <c r="AE122"/>
      <c r="AF122"/>
      <c r="AG122" s="2"/>
    </row>
    <row r="123" spans="1:33" ht="15.75" thickBot="1" x14ac:dyDescent="0.3">
      <c r="B123" s="2"/>
      <c r="F123" s="54"/>
      <c r="G123" s="134"/>
      <c r="H123" s="80"/>
      <c r="I123" s="85"/>
      <c r="J123" s="906" t="s">
        <v>69</v>
      </c>
      <c r="K123" s="907"/>
      <c r="L123" s="899">
        <f>+N140/O125</f>
        <v>7</v>
      </c>
      <c r="M123" s="900"/>
      <c r="N123" s="901"/>
      <c r="O123" s="61"/>
      <c r="P123" s="315"/>
      <c r="Q123" s="174"/>
      <c r="S123" s="172"/>
      <c r="AD123" s="173"/>
      <c r="AE123"/>
      <c r="AF123"/>
      <c r="AG123" s="2"/>
    </row>
    <row r="124" spans="1:33" ht="15.75" thickBot="1" x14ac:dyDescent="0.3">
      <c r="B124" s="2"/>
      <c r="F124" s="54"/>
      <c r="G124" s="136"/>
      <c r="H124" s="84"/>
      <c r="I124" s="83"/>
      <c r="J124" s="83"/>
      <c r="K124" s="86"/>
      <c r="L124" s="86"/>
      <c r="M124" s="86"/>
      <c r="N124" s="61"/>
      <c r="O124" s="316"/>
      <c r="P124" s="316"/>
      <c r="Q124" s="175"/>
      <c r="S124" s="172"/>
      <c r="AB124" s="173"/>
      <c r="AC124" s="173"/>
      <c r="AD124"/>
      <c r="AE124"/>
      <c r="AF124" s="5"/>
    </row>
    <row r="125" spans="1:33" ht="15.75" thickBot="1" x14ac:dyDescent="0.3">
      <c r="B125" s="2"/>
      <c r="F125" s="54"/>
      <c r="G125" s="135"/>
      <c r="H125" s="82"/>
      <c r="I125" s="81"/>
      <c r="J125" s="81"/>
      <c r="K125" s="79"/>
      <c r="L125" s="79"/>
      <c r="M125" s="60"/>
      <c r="N125" s="87" t="s">
        <v>26</v>
      </c>
      <c r="O125" s="88">
        <v>12</v>
      </c>
      <c r="P125" s="315"/>
      <c r="Q125" s="174"/>
      <c r="S125" s="172"/>
      <c r="AC125" s="173"/>
      <c r="AD125" s="173"/>
      <c r="AE125"/>
      <c r="AF125"/>
    </row>
    <row r="126" spans="1:33" ht="30.75" thickBot="1" x14ac:dyDescent="0.3">
      <c r="B126" s="2"/>
      <c r="F126" s="54"/>
      <c r="G126" s="134"/>
      <c r="H126" s="89" t="s">
        <v>21</v>
      </c>
      <c r="I126" s="90" t="s">
        <v>18</v>
      </c>
      <c r="J126" s="90" t="s">
        <v>19</v>
      </c>
      <c r="K126" s="91" t="s">
        <v>40</v>
      </c>
      <c r="L126" s="91" t="s">
        <v>20</v>
      </c>
      <c r="M126" s="60"/>
      <c r="N126" s="92" t="s">
        <v>16</v>
      </c>
      <c r="O126" s="92" t="s">
        <v>32</v>
      </c>
      <c r="P126" s="315"/>
      <c r="Q126" s="174"/>
      <c r="S126" s="172"/>
      <c r="AC126" s="173"/>
      <c r="AD126" s="173"/>
      <c r="AE126"/>
      <c r="AF126"/>
    </row>
    <row r="127" spans="1:33" x14ac:dyDescent="0.25">
      <c r="B127" s="2"/>
      <c r="F127" s="54"/>
      <c r="G127" s="134"/>
      <c r="H127" s="93" t="s">
        <v>4</v>
      </c>
      <c r="I127" s="161">
        <f>+SUMIF($L$9:$L$97,H127,$O$9:$O$97)</f>
        <v>11938000</v>
      </c>
      <c r="J127" s="162">
        <f>+SUMIF($L$9:$L$97,H127,$T$9:$T$97)+SUMIF($L$9:$L$97,H127,$U$9:$U$97)+SUMIF($L$9:$L$97,H127,$V$9:$V$97)+SUMIF($L$9:$L$97,H127,$W$9:$W$97)+SUMIF($L$9:$L$97,H127,$X$9:$X$97)+SUMIF($L$9:$L$97,H127,$Y$9:$Y$97)+SUMIF($L$9:$L$97,H127,$Z$9:$Z$97)+SUMIF($L$9:$L$97,H127,$AD$9:$AD$97)+SUMIF($L$9:$L$97,H127,$S$9:$S$97)+SUMIF($L$9:$L$97,H127,$AA$9:$AA$97)+SUMIF($L$9:$L$97,H127,$AB$9:$AB$97)+SUMIF($L$9:$L$97,H127,$AC$9:$AC$97)</f>
        <v>11938000</v>
      </c>
      <c r="K127" s="162">
        <f>+J127/$O$125</f>
        <v>994833.33333333337</v>
      </c>
      <c r="L127" s="94">
        <f>+K127/$K$140</f>
        <v>4.3916016415574438E-2</v>
      </c>
      <c r="M127" s="60"/>
      <c r="N127" s="95">
        <f>+COUNTIFS($K$9:$K$97,$H$116,$L$9:$L$97,H127)</f>
        <v>4</v>
      </c>
      <c r="O127" s="96">
        <f>+COUNTIFS($K$9:$K$97,$H$117,$L$9:$L$97,H127)</f>
        <v>0</v>
      </c>
      <c r="P127" s="315"/>
      <c r="Q127" s="174"/>
      <c r="S127" s="172"/>
      <c r="AC127" s="173"/>
      <c r="AD127" s="173"/>
      <c r="AE127"/>
      <c r="AF127"/>
    </row>
    <row r="128" spans="1:33" x14ac:dyDescent="0.25">
      <c r="B128" s="2"/>
      <c r="F128" s="54"/>
      <c r="G128" s="134"/>
      <c r="H128" s="97" t="s">
        <v>9</v>
      </c>
      <c r="I128" s="163">
        <f>+SUMIF($L$9:$L$97,H128,$O$9:$O$97)</f>
        <v>35024625</v>
      </c>
      <c r="J128" s="160">
        <f>+SUMIF($L$9:$L$97,H128,$T$9:$T$97)+SUMIF($L$9:$L$97,H128,$U$9:$U$97)+SUMIF($L$9:$L$97,H128,$V$9:$V$97)+SUMIF($L$9:$L$97,H128,$W$9:$W$97)+SUMIF($L$9:$L$97,H128,$X$9:$X$97)+SUMIF($L$9:$L$97,H128,$Y$9:$Y$97)+SUMIF($L$9:$L$97,H128,$Z$9:$Z$97)+SUMIF($L$9:$L$97,H128,$AD$9:$AD$97)+SUMIF($L$9:$L$97,H128,$S$9:$S$97)+SUMIF($L$9:$L$97,H128,$AA$9:$AA$97)+SUMIF($L$9:$L$97,H128,$AB$9:$AB$97)+SUMIF($L$9:$L$97,H128,$AC$9:$AC$97)</f>
        <v>3860425</v>
      </c>
      <c r="K128" s="160">
        <f>+J128/$O$125</f>
        <v>321702.08333333331</v>
      </c>
      <c r="L128" s="98">
        <f>+K128/$K$140</f>
        <v>1.4201247082517502E-2</v>
      </c>
      <c r="M128" s="60"/>
      <c r="N128" s="76">
        <f>+COUNTIFS($K$9:$K$97,$H$116,$L$9:$L$97,H128)</f>
        <v>7</v>
      </c>
      <c r="O128" s="99">
        <f>+COUNTIFS($K$9:$K$97,$H$117,$L$9:$L$97,H128)</f>
        <v>1</v>
      </c>
      <c r="P128" s="315"/>
      <c r="Q128" s="174"/>
      <c r="S128" s="172"/>
      <c r="AC128" s="173"/>
      <c r="AD128" s="173"/>
      <c r="AE128"/>
      <c r="AF128"/>
    </row>
    <row r="129" spans="2:32" ht="15.75" thickBot="1" x14ac:dyDescent="0.3">
      <c r="B129" s="2"/>
      <c r="F129" s="54"/>
      <c r="G129" s="134"/>
      <c r="H129" s="100" t="s">
        <v>8</v>
      </c>
      <c r="I129" s="101">
        <f>+SUMIF($L$9:$L$97,H129,$O$9:$O$97)</f>
        <v>3659844.4176596506</v>
      </c>
      <c r="J129" s="102">
        <f>+SUMIF($L$9:$L$97,H129,$T$9:$T$97)+SUMIF($L$9:$L$97,H129,$U$9:$U$97)+SUMIF($L$9:$L$97,H129,$V$9:$V$97)+SUMIF($L$9:$L$97,H129,$W$9:$W$97)+SUMIF($L$9:$L$97,H129,$X$9:$X$97)+SUMIF($L$9:$L$97,H129,$Y$9:$Y$97)+SUMIF($L$9:$L$97,H129,$Z$9:$Z$97)+SUMIF($L$9:$L$97,H129,$AD$9:$AD$97)+SUMIF($L$9:$L$97,H129,$S$9:$S$97)+SUMIF($L$9:$L$97,H129,$AA$9:$AA$97)+SUMIF($L$9:$L$97,H129,$AB$9:$AB$97)+SUMIF($L$9:$L$97,H129,$AC$9:$AC$97)</f>
        <v>1000000</v>
      </c>
      <c r="K129" s="102">
        <f>+J129/$O$125</f>
        <v>83333.333333333328</v>
      </c>
      <c r="L129" s="103">
        <f>+K129/$K$140</f>
        <v>3.6786745196493911E-3</v>
      </c>
      <c r="M129" s="60"/>
      <c r="N129" s="104">
        <f>+COUNTIFS($K$9:$K$97,$H$116,$L$9:$L$97,H129)</f>
        <v>1</v>
      </c>
      <c r="O129" s="105">
        <f>+COUNTIFS($K$9:$K$97,$H$117,$L$9:$L$97,H129)</f>
        <v>0</v>
      </c>
      <c r="P129" s="315"/>
      <c r="Q129" s="174"/>
      <c r="S129" s="172"/>
      <c r="AC129" s="173"/>
      <c r="AD129" s="173"/>
      <c r="AE129"/>
      <c r="AF129"/>
    </row>
    <row r="130" spans="2:32" ht="15.75" thickBot="1" x14ac:dyDescent="0.3">
      <c r="B130" s="2"/>
      <c r="F130" s="54"/>
      <c r="G130" s="134"/>
      <c r="H130" s="106" t="s">
        <v>17</v>
      </c>
      <c r="I130" s="107">
        <f>SUM(I127:I129)</f>
        <v>50622469.417659648</v>
      </c>
      <c r="J130" s="107">
        <f>SUM(J127:J129)</f>
        <v>16798425</v>
      </c>
      <c r="K130" s="107">
        <f>SUM(K127:K129)</f>
        <v>1399868.75</v>
      </c>
      <c r="L130" s="108"/>
      <c r="M130" s="60"/>
      <c r="N130" s="109">
        <f>SUM(N127:N129)</f>
        <v>12</v>
      </c>
      <c r="O130" s="109">
        <f>SUM(O127:O129)</f>
        <v>1</v>
      </c>
      <c r="P130" s="315"/>
      <c r="Q130" s="174"/>
      <c r="S130" s="172"/>
      <c r="AC130" s="173"/>
      <c r="AD130" s="173"/>
      <c r="AE130"/>
      <c r="AF130"/>
    </row>
    <row r="131" spans="2:32" ht="15.75" thickBot="1" x14ac:dyDescent="0.3">
      <c r="B131" s="2"/>
      <c r="F131" s="54"/>
      <c r="G131" s="134"/>
      <c r="H131" s="79"/>
      <c r="I131" s="79"/>
      <c r="J131" s="79"/>
      <c r="K131" s="79"/>
      <c r="L131" s="108"/>
      <c r="M131" s="60"/>
      <c r="N131" s="79"/>
      <c r="O131" s="79"/>
      <c r="P131" s="315"/>
      <c r="Q131" s="174"/>
      <c r="S131" s="172"/>
      <c r="AC131" s="173"/>
      <c r="AD131" s="173"/>
      <c r="AE131"/>
      <c r="AF131"/>
    </row>
    <row r="132" spans="2:32" x14ac:dyDescent="0.25">
      <c r="B132" s="2"/>
      <c r="F132" s="54"/>
      <c r="G132" s="134"/>
      <c r="H132" s="110" t="s">
        <v>6</v>
      </c>
      <c r="I132" s="161">
        <f>+SUMIF($L$9:$L$97,H132,$O$9:$O$97)</f>
        <v>173601570.84999993</v>
      </c>
      <c r="J132" s="162">
        <f>+SUMIF($L$9:$L$97,H132,$T$9:$T$97)+SUMIF($L$9:$L$97,H132,$U$9:$U$97)+SUMIF($L$9:$L$97,H132,$V$9:$V$97)+SUMIF($L$9:$L$97,H132,$W$9:$W$97)+SUMIF($L$9:$L$97,H132,$X$9:$X$97)+SUMIF($L$9:$L$97,H132,$Y$9:$Y$97)+SUMIF($L$9:$L$97,H132,$Z$9:$Z$97)+SUMIF($L$9:$L$97,H132,$AD$9:$AD$97)+SUMIF($L$9:$L$97,H132,$S$9:$S$97)+SUMIF($L$9:$L$97,H132,$AA$9:$AA$97)+SUMIF($L$9:$L$97,H132,$AB$9:$AB$97)+SUMIF($L$9:$L$97,H132,$AC$9:$AC$97)</f>
        <v>154091842.45000002</v>
      </c>
      <c r="K132" s="162">
        <f>+J132/$O$125</f>
        <v>12840986.870833335</v>
      </c>
      <c r="L132" s="111">
        <f>+K132/$K$140</f>
        <v>0.56685373450664356</v>
      </c>
      <c r="M132" s="60"/>
      <c r="N132" s="95">
        <f>+COUNTIFS($K$9:$K$97,$H$116,$L$9:$L$97,H132)</f>
        <v>45</v>
      </c>
      <c r="O132" s="96">
        <f>+COUNTIFS($K$9:$K$97,$H$117,$L$9:$L$97,H132)</f>
        <v>3</v>
      </c>
      <c r="P132" s="315"/>
      <c r="Q132" s="174"/>
      <c r="S132" s="172"/>
      <c r="AC132" s="173"/>
      <c r="AD132" s="173"/>
      <c r="AE132"/>
      <c r="AF132"/>
    </row>
    <row r="133" spans="2:32" ht="15.75" thickBot="1" x14ac:dyDescent="0.3">
      <c r="B133" s="2"/>
      <c r="F133" s="54"/>
      <c r="G133" s="134"/>
      <c r="H133" s="112" t="s">
        <v>44</v>
      </c>
      <c r="I133" s="101">
        <f>+SUMIF($L$9:$L$97,H133,$O$9:$O$97)</f>
        <v>30404357</v>
      </c>
      <c r="J133" s="102">
        <f>+SUMIF($L$9:$L$97,H133,$T$9:$T$97)+SUMIF($L$9:$L$97,H133,$U$9:$U$97)+SUMIF($L$9:$L$97,H133,$V$9:$V$97)+SUMIF($L$9:$L$97,H133,$W$9:$W$97)+SUMIF($L$9:$L$97,H133,$X$9:$X$97)+SUMIF($L$9:$L$97,H133,$Y$9:$Y$97)+SUMIF($L$9:$L$97,H133,$Z$9:$Z$97)+SUMIF($L$9:$L$97,H133,$AD$9:$AD$97)+SUMIF($L$9:$L$97,H133,$S$9:$S$97)+SUMIF($L$9:$L$97,H133,$AA$9:$AA$97)+SUMIF($L$9:$L$97,H133,$AB$9:$AB$97)+SUMIF($L$9:$L$97,H133,$AC$9:$AC$97)</f>
        <v>20909600</v>
      </c>
      <c r="K133" s="102">
        <f>+J133/$O$125</f>
        <v>1742466.6666666667</v>
      </c>
      <c r="L133" s="113">
        <f>+K133/$K$140</f>
        <v>7.6919612736060919E-2</v>
      </c>
      <c r="M133" s="60"/>
      <c r="N133" s="104">
        <f>+COUNTIFS($K$9:$K$97,$H$116,$L$9:$L$97,H133)</f>
        <v>6</v>
      </c>
      <c r="O133" s="105">
        <f>+COUNTIFS($K$9:$K$97,$H$117,$L$9:$L$97,H133)</f>
        <v>0</v>
      </c>
      <c r="P133" s="315"/>
      <c r="Q133" s="174"/>
      <c r="S133" s="172"/>
      <c r="AC133" s="173"/>
      <c r="AD133" s="173"/>
      <c r="AE133"/>
      <c r="AF133"/>
    </row>
    <row r="134" spans="2:32" ht="15.75" thickBot="1" x14ac:dyDescent="0.3">
      <c r="B134" s="2"/>
      <c r="F134" s="54"/>
      <c r="G134" s="134"/>
      <c r="H134" s="540" t="s">
        <v>365</v>
      </c>
      <c r="I134" s="101">
        <f>+SUMIF($L$9:$L$97,H134,$O$9:$O$97)</f>
        <v>77009049.576568961</v>
      </c>
      <c r="J134" s="102">
        <f>+SUMIF($L$9:$L$97,H134,$T$9:$T$97)+SUMIF($L$9:$L$97,H134,$U$9:$U$97)+SUMIF($L$9:$L$97,H134,$V$9:$V$97)+SUMIF($L$9:$L$97,H134,$W$9:$W$97)+SUMIF($L$9:$L$97,H134,$X$9:$X$97)+SUMIF($L$9:$L$97,H134,$Y$9:$Y$97)+SUMIF($L$9:$L$97,H134,$Z$9:$Z$97)+SUMIF($L$9:$L$97,H134,$AD$9:$AD$97)+SUMIF($L$9:$L$97,H134,$S$9:$S$97)+SUMIF($L$9:$L$97,H134,$AA$9:$AA$97)+SUMIF($L$9:$L$97,H134,$AB$9:$AB$97)+SUMIF($L$9:$L$97,H134,$AC$9:$AC$97)</f>
        <v>77009049.576568961</v>
      </c>
      <c r="K134" s="102">
        <f>+J134/$O$125</f>
        <v>6417420.7980474131</v>
      </c>
      <c r="L134" s="113">
        <f>+K134/$K$140</f>
        <v>0.28329122845974097</v>
      </c>
      <c r="M134" s="60"/>
      <c r="N134" s="104">
        <f>+COUNTIFS($K$9:$K$97,$H$116,$L$9:$L$97,H134)</f>
        <v>20</v>
      </c>
      <c r="O134" s="105">
        <f>+COUNTIFS($K$9:$K$97,$H$117,$L$9:$L$97,H134)</f>
        <v>0</v>
      </c>
      <c r="P134" s="315"/>
      <c r="Q134" s="174"/>
      <c r="S134" s="172"/>
      <c r="AC134" s="173"/>
      <c r="AD134" s="173"/>
      <c r="AE134"/>
      <c r="AF134"/>
    </row>
    <row r="135" spans="2:32" ht="15.75" thickBot="1" x14ac:dyDescent="0.3">
      <c r="B135" s="2"/>
      <c r="F135" s="54"/>
      <c r="G135" s="134"/>
      <c r="H135" s="114" t="s">
        <v>22</v>
      </c>
      <c r="I135" s="107">
        <f>+I132+I133+I134</f>
        <v>281014977.42656887</v>
      </c>
      <c r="J135" s="107">
        <f>+J132+J133+J134</f>
        <v>252010492.02656898</v>
      </c>
      <c r="K135" s="107">
        <f>+K132+K133+K134</f>
        <v>21000874.335547414</v>
      </c>
      <c r="L135" s="115"/>
      <c r="M135" s="60"/>
      <c r="N135" s="109">
        <f>+N132+N133+N134</f>
        <v>71</v>
      </c>
      <c r="O135" s="109">
        <f>+O132+O133</f>
        <v>3</v>
      </c>
      <c r="P135" s="315"/>
      <c r="Q135" s="174"/>
      <c r="S135" s="172"/>
      <c r="AC135" s="173"/>
      <c r="AD135" s="173"/>
      <c r="AE135"/>
      <c r="AF135"/>
    </row>
    <row r="136" spans="2:32" ht="15.75" thickBot="1" x14ac:dyDescent="0.3">
      <c r="B136" s="2"/>
      <c r="F136" s="54"/>
      <c r="G136" s="134"/>
      <c r="H136" s="79"/>
      <c r="I136" s="83"/>
      <c r="J136" s="83"/>
      <c r="K136" s="81"/>
      <c r="L136" s="115"/>
      <c r="M136" s="81"/>
      <c r="N136" s="81"/>
      <c r="O136" s="61"/>
      <c r="P136" s="315"/>
      <c r="Q136" s="174"/>
      <c r="S136" s="172"/>
      <c r="AC136" s="173"/>
      <c r="AD136" s="173"/>
      <c r="AE136"/>
      <c r="AF136"/>
    </row>
    <row r="137" spans="2:32" x14ac:dyDescent="0.25">
      <c r="B137" s="2"/>
      <c r="F137" s="54"/>
      <c r="G137" s="134"/>
      <c r="H137" s="116" t="s">
        <v>13</v>
      </c>
      <c r="I137" s="161">
        <f>+SUMIF($L$9:$L$97,H137,$O$9:$O$97)</f>
        <v>0</v>
      </c>
      <c r="J137" s="162">
        <f>+SUMIF($L$9:$L$97,H137,$T$9:$T$97)+SUMIF($L$9:$L$97,H137,$U$9:$U$97)+SUMIF($L$9:$L$97,H137,$V$9:$V$97)+SUMIF($L$9:$L$97,H137,$W$9:$W$97)+SUMIF($L$9:$L$97,H137,$X$9:$X$97)+SUMIF($L$9:$L$97,H137,$Y$9:$Y$97)+SUMIF($L$9:$L$97,H137,$Z$9:$Z$97)+SUMIF($L$9:$L$97,H137,$AD$9:$AD$97)+SUMIF($L$9:$L$97,H137,$S$9:$S$97)+SUMIF($L$9:$L$97,H137,$AA$9:$AA$97)+SUMIF($L$9:$L$97,H137,$AB$9:$AB$97)+SUMIF($L$9:$L$97,H137,$AC$9:$AC$97)</f>
        <v>0</v>
      </c>
      <c r="K137" s="162">
        <f>+J137/$O$125</f>
        <v>0</v>
      </c>
      <c r="L137" s="117">
        <f>+K137/$K$140</f>
        <v>0</v>
      </c>
      <c r="M137" s="60"/>
      <c r="N137" s="118">
        <f>+COUNTIFS($K$9:$K$97,$H$116,$L$9:$L$97,H137)</f>
        <v>0</v>
      </c>
      <c r="O137" s="119">
        <f>+COUNTIFS($K$9:$K$97,$H$117,$L$9:$L$97,H137)</f>
        <v>0</v>
      </c>
      <c r="P137" s="315"/>
      <c r="Q137" s="174"/>
      <c r="S137" s="172"/>
      <c r="AC137" s="173"/>
      <c r="AD137" s="173"/>
      <c r="AE137"/>
      <c r="AF137"/>
    </row>
    <row r="138" spans="2:32" ht="15.75" thickBot="1" x14ac:dyDescent="0.3">
      <c r="B138" s="2"/>
      <c r="F138" s="54"/>
      <c r="G138" s="134"/>
      <c r="H138" s="120" t="s">
        <v>14</v>
      </c>
      <c r="I138" s="101">
        <f>+SUMIF($L$9:$L$97,H138,$O$9:$O$97)</f>
        <v>3028125</v>
      </c>
      <c r="J138" s="102">
        <f>+SUMIF($L$9:$L$97,H138,$T$9:$T$97)+SUMIF($L$9:$L$97,H138,$U$9:$U$97)+SUMIF($L$9:$L$97,H138,$V$9:$V$97)+SUMIF($L$9:$L$97,H138,$W$9:$W$97)+SUMIF($L$9:$L$97,H138,$X$9:$X$97)+SUMIF($L$9:$L$97,H138,$Y$9:$Y$97)+SUMIF($L$9:$L$97,H138,$Z$9:$Z$97)+SUMIF($L$9:$L$97,H138,$AD$9:$AD$97)+SUMIF($L$9:$L$97,H138,$S$9:$S$97)+SUMIF($L$9:$L$97,H138,$AA$9:$AA$97)+SUMIF($L$9:$L$97,H138,$AB$9:$AB$97)+SUMIF($L$9:$L$97,H138,$AC$9:$AC$97)</f>
        <v>3028125</v>
      </c>
      <c r="K138" s="102">
        <f>+J138/$O$125</f>
        <v>252343.75</v>
      </c>
      <c r="L138" s="166">
        <f>+K138/$K$140</f>
        <v>1.1139486279813314E-2</v>
      </c>
      <c r="M138" s="60"/>
      <c r="N138" s="164">
        <f>+COUNTIFS($K$9:$K$97,$H$116,$L$9:$L$97,H138)</f>
        <v>1</v>
      </c>
      <c r="O138" s="165">
        <f>+COUNTIFS($K$9:$K$97,$H$117,$L$9:$L$97,H138)</f>
        <v>0</v>
      </c>
      <c r="P138" s="315"/>
      <c r="Q138" s="174"/>
      <c r="S138" s="172"/>
      <c r="AC138" s="173"/>
      <c r="AD138" s="173"/>
      <c r="AE138"/>
      <c r="AF138"/>
    </row>
    <row r="139" spans="2:32" ht="15.75" thickBot="1" x14ac:dyDescent="0.3">
      <c r="B139" s="2"/>
      <c r="F139" s="54"/>
      <c r="G139" s="134"/>
      <c r="H139" s="121" t="s">
        <v>22</v>
      </c>
      <c r="I139" s="169">
        <f>+I137+I138</f>
        <v>3028125</v>
      </c>
      <c r="J139" s="170">
        <f>+J137+J138</f>
        <v>3028125</v>
      </c>
      <c r="K139" s="171">
        <f>+K137+K138</f>
        <v>252343.75</v>
      </c>
      <c r="L139" s="79"/>
      <c r="M139" s="60"/>
      <c r="N139" s="167">
        <f>+N137+N138</f>
        <v>1</v>
      </c>
      <c r="O139" s="168">
        <f>+O137+O138</f>
        <v>0</v>
      </c>
      <c r="P139" s="315"/>
      <c r="Q139" s="174"/>
      <c r="S139" s="172"/>
      <c r="AC139" s="173"/>
      <c r="AD139" s="178"/>
      <c r="AE139"/>
      <c r="AF139"/>
    </row>
    <row r="140" spans="2:32" ht="15.75" thickBot="1" x14ac:dyDescent="0.3">
      <c r="B140" s="2"/>
      <c r="F140" s="54"/>
      <c r="G140" s="134"/>
      <c r="H140" s="122" t="s">
        <v>23</v>
      </c>
      <c r="I140" s="123">
        <f>+I139+I135+I130</f>
        <v>334665571.84422851</v>
      </c>
      <c r="J140" s="123">
        <f>+J139+J135+J130</f>
        <v>271837042.02656901</v>
      </c>
      <c r="K140" s="123">
        <f>+K139+K135+K130</f>
        <v>22653086.835547414</v>
      </c>
      <c r="L140" s="79"/>
      <c r="M140" s="60"/>
      <c r="N140" s="124">
        <f>+N139+N135+N130</f>
        <v>84</v>
      </c>
      <c r="O140" s="125">
        <f>+O139+O135+O130</f>
        <v>4</v>
      </c>
      <c r="P140" s="176"/>
      <c r="Q140" s="174"/>
      <c r="S140" s="172"/>
      <c r="AC140" s="173"/>
      <c r="AD140" s="173"/>
      <c r="AE140"/>
      <c r="AF140"/>
    </row>
    <row r="141" spans="2:32" ht="15.75" thickBot="1" x14ac:dyDescent="0.3">
      <c r="B141" s="2"/>
      <c r="F141" s="54"/>
      <c r="G141" s="134"/>
      <c r="H141" s="126" t="s">
        <v>25</v>
      </c>
      <c r="I141" s="127">
        <f>+M112-I140</f>
        <v>0</v>
      </c>
      <c r="J141" s="127">
        <f>+M113-J140</f>
        <v>0</v>
      </c>
      <c r="K141" s="127">
        <f>+K140-L122</f>
        <v>0</v>
      </c>
      <c r="L141" s="79"/>
      <c r="M141" s="60"/>
      <c r="N141" s="820">
        <f>+N140+O140</f>
        <v>88</v>
      </c>
      <c r="O141" s="821"/>
      <c r="P141" s="391"/>
      <c r="Q141" s="174"/>
      <c r="S141" s="316"/>
      <c r="AD141" s="173"/>
      <c r="AE141" s="173"/>
      <c r="AF141"/>
    </row>
    <row r="142" spans="2:32" x14ac:dyDescent="0.25">
      <c r="B142" s="2"/>
      <c r="F142" s="54"/>
      <c r="G142" s="137"/>
      <c r="H142" s="126"/>
      <c r="I142" s="127"/>
      <c r="J142" s="127"/>
      <c r="K142" s="127"/>
      <c r="L142" s="79"/>
      <c r="M142" s="79"/>
      <c r="N142" s="79"/>
      <c r="O142" s="79"/>
      <c r="P142" s="390"/>
      <c r="Q142" s="174"/>
      <c r="S142" s="316"/>
      <c r="AD142" s="173"/>
      <c r="AE142" s="173"/>
      <c r="AF142"/>
    </row>
    <row r="143" spans="2:32" x14ac:dyDescent="0.25">
      <c r="B143" s="2"/>
      <c r="F143" s="54"/>
      <c r="G143" s="134"/>
      <c r="H143" s="80"/>
      <c r="I143" s="79"/>
      <c r="J143" s="60"/>
      <c r="K143" s="127"/>
      <c r="L143" s="79"/>
      <c r="M143" s="79"/>
      <c r="N143" s="79"/>
      <c r="O143" s="79"/>
      <c r="P143" s="61"/>
      <c r="Q143" s="174"/>
      <c r="S143" s="316"/>
      <c r="AD143" s="173"/>
      <c r="AE143" s="173"/>
      <c r="AF143"/>
    </row>
    <row r="144" spans="2:32" x14ac:dyDescent="0.25">
      <c r="B144" s="2"/>
      <c r="F144" s="54"/>
      <c r="G144" s="134"/>
      <c r="H144" s="80"/>
      <c r="I144" s="79"/>
      <c r="J144" s="138" t="s">
        <v>61</v>
      </c>
      <c r="K144" s="126"/>
      <c r="L144" s="126"/>
      <c r="M144" s="127"/>
      <c r="N144" s="79"/>
      <c r="O144" s="61"/>
      <c r="P144" s="315"/>
      <c r="Q144" s="174"/>
      <c r="S144" s="172"/>
      <c r="AC144" s="173"/>
      <c r="AD144" s="173"/>
      <c r="AE144"/>
      <c r="AF144"/>
    </row>
    <row r="145" spans="2:32" x14ac:dyDescent="0.25">
      <c r="B145" s="2"/>
      <c r="F145" s="54"/>
      <c r="G145" s="134"/>
      <c r="H145" s="80"/>
      <c r="I145" s="79"/>
      <c r="J145" s="79"/>
      <c r="K145" s="70" t="s">
        <v>375</v>
      </c>
      <c r="L145" s="70" t="s">
        <v>68</v>
      </c>
      <c r="N145" s="70" t="s">
        <v>55</v>
      </c>
      <c r="O145" s="70" t="s">
        <v>3</v>
      </c>
      <c r="P145"/>
      <c r="Q145" s="174"/>
      <c r="S145" s="172"/>
      <c r="AC145" s="173"/>
      <c r="AD145" s="173"/>
      <c r="AE145"/>
      <c r="AF145"/>
    </row>
    <row r="146" spans="2:32" x14ac:dyDescent="0.25">
      <c r="B146" s="2"/>
      <c r="F146" s="54"/>
      <c r="G146" s="134"/>
      <c r="H146" s="80"/>
      <c r="I146" s="79"/>
      <c r="J146" s="71" t="s">
        <v>3</v>
      </c>
      <c r="K146" s="72">
        <f>+COUNTIF($I$9:$I$97,K145)</f>
        <v>48</v>
      </c>
      <c r="L146" s="72">
        <f>+COUNTIF($I$9:$I$97,L145)</f>
        <v>38</v>
      </c>
      <c r="N146" s="72">
        <f>+COUNTIFS($I$9:$I$97,N145,$I$9:$I$97,L145)</f>
        <v>0</v>
      </c>
      <c r="O146" s="72">
        <f>+K146+N146</f>
        <v>48</v>
      </c>
      <c r="P146" s="183">
        <f>+O146-N141</f>
        <v>-40</v>
      </c>
      <c r="Q146" s="174"/>
      <c r="S146" s="172"/>
      <c r="AC146" s="173"/>
      <c r="AD146" s="173"/>
      <c r="AE146"/>
      <c r="AF146"/>
    </row>
    <row r="147" spans="2:32" x14ac:dyDescent="0.25">
      <c r="B147" s="2"/>
      <c r="F147" s="54"/>
      <c r="G147" s="134"/>
      <c r="H147" s="80"/>
      <c r="I147" s="79"/>
      <c r="J147" s="76" t="s">
        <v>55</v>
      </c>
      <c r="K147" s="77">
        <f>+COUNTIFS($I$9:$I$97,$K$145,$K$9:$K$97,J147)</f>
        <v>2</v>
      </c>
      <c r="L147" s="77">
        <f>+COUNTIFS($I$9:$I$97,$K$145,$K$9:$K$97,K147)</f>
        <v>0</v>
      </c>
      <c r="N147" s="77">
        <f>+COUNTIFS($I$9:$I$97,$K$145,$K$9:$K$97,L147)</f>
        <v>0</v>
      </c>
      <c r="O147" s="77">
        <f>+N147+K147</f>
        <v>2</v>
      </c>
      <c r="P147"/>
      <c r="Q147" s="174"/>
      <c r="S147" s="172"/>
      <c r="AC147" s="173"/>
      <c r="AD147" s="173"/>
      <c r="AE147"/>
      <c r="AF147"/>
    </row>
    <row r="148" spans="2:32" x14ac:dyDescent="0.25">
      <c r="B148" s="2"/>
      <c r="F148" s="54"/>
      <c r="G148" s="137"/>
      <c r="H148" s="126"/>
      <c r="I148" s="127"/>
      <c r="J148" s="78" t="s">
        <v>54</v>
      </c>
      <c r="K148" s="77">
        <f>+COUNTIFS($I$9:$I$97,$K$145,$K$9:$K$97,J148)</f>
        <v>46</v>
      </c>
      <c r="L148" s="77">
        <f>+COUNTIFS($I$9:$I$97,$K$145,$K$9:$K$97,K148)</f>
        <v>0</v>
      </c>
      <c r="N148" s="77">
        <f>+COUNTIFS($I$9:$I$97,$K$145,$K$9:$K$97,L148)</f>
        <v>0</v>
      </c>
      <c r="O148" s="77">
        <f>+N148+K148</f>
        <v>46</v>
      </c>
      <c r="P148"/>
      <c r="Q148" s="174"/>
      <c r="S148" s="172"/>
      <c r="AC148" s="173"/>
      <c r="AD148" s="173"/>
      <c r="AE148"/>
      <c r="AF148"/>
    </row>
    <row r="149" spans="2:32" ht="15.75" thickBot="1" x14ac:dyDescent="0.3">
      <c r="B149" s="2"/>
      <c r="F149" s="54"/>
      <c r="G149" s="139"/>
      <c r="H149" s="129"/>
      <c r="I149" s="130"/>
      <c r="J149" s="130"/>
      <c r="K149" s="128"/>
      <c r="L149" s="128"/>
      <c r="M149" s="62"/>
      <c r="N149" s="62"/>
      <c r="O149" s="62"/>
      <c r="P149" s="62"/>
      <c r="Q149" s="179"/>
      <c r="S149" s="316"/>
      <c r="AE149" s="173"/>
      <c r="AF149"/>
    </row>
    <row r="150" spans="2:32" x14ac:dyDescent="0.25">
      <c r="B150" s="2"/>
      <c r="F150" s="54"/>
      <c r="G150" s="7"/>
      <c r="I150"/>
      <c r="Q150" s="315"/>
      <c r="S150" s="386"/>
      <c r="AE150" s="173"/>
      <c r="AF150"/>
    </row>
    <row r="151" spans="2:32" x14ac:dyDescent="0.25">
      <c r="G151" s="7"/>
      <c r="I151"/>
      <c r="N151" s="8"/>
      <c r="O151" s="8"/>
      <c r="Q151" s="315"/>
      <c r="S151" s="386"/>
      <c r="AE151" s="173"/>
      <c r="AF151"/>
    </row>
    <row r="152" spans="2:32" x14ac:dyDescent="0.25">
      <c r="G152" s="7"/>
      <c r="I152"/>
      <c r="N152" s="8"/>
      <c r="O152" s="8"/>
      <c r="Q152" s="172"/>
      <c r="S152" s="386"/>
      <c r="AE152" s="173"/>
      <c r="AF152"/>
    </row>
    <row r="153" spans="2:32" x14ac:dyDescent="0.25">
      <c r="G153" s="7"/>
      <c r="I153"/>
      <c r="N153" s="8"/>
      <c r="O153" s="8"/>
      <c r="Q153" s="172"/>
      <c r="S153" s="386"/>
      <c r="AE153" s="173"/>
      <c r="AF153"/>
    </row>
  </sheetData>
  <autoFilter ref="D8:AF96"/>
  <mergeCells count="38">
    <mergeCell ref="N141:O141"/>
    <mergeCell ref="G5:AF5"/>
    <mergeCell ref="H119:J119"/>
    <mergeCell ref="K119:L119"/>
    <mergeCell ref="K118:L118"/>
    <mergeCell ref="K117:L117"/>
    <mergeCell ref="K116:L116"/>
    <mergeCell ref="H118:J118"/>
    <mergeCell ref="H117:J117"/>
    <mergeCell ref="H116:J116"/>
    <mergeCell ref="M119:N119"/>
    <mergeCell ref="M118:N118"/>
    <mergeCell ref="M117:N117"/>
    <mergeCell ref="M116:N116"/>
    <mergeCell ref="M115:N115"/>
    <mergeCell ref="J123:K123"/>
    <mergeCell ref="J122:K122"/>
    <mergeCell ref="J121:K121"/>
    <mergeCell ref="L123:N123"/>
    <mergeCell ref="L122:N122"/>
    <mergeCell ref="L121:N121"/>
    <mergeCell ref="K115:L115"/>
    <mergeCell ref="C34:C45"/>
    <mergeCell ref="C46:C51"/>
    <mergeCell ref="M113:N113"/>
    <mergeCell ref="M112:N112"/>
    <mergeCell ref="C52:C55"/>
    <mergeCell ref="H115:J115"/>
    <mergeCell ref="H107:P107"/>
    <mergeCell ref="C56:C70"/>
    <mergeCell ref="C71:C94"/>
    <mergeCell ref="C7:R7"/>
    <mergeCell ref="J113:L113"/>
    <mergeCell ref="J112:L112"/>
    <mergeCell ref="C9:C19"/>
    <mergeCell ref="C21:C24"/>
    <mergeCell ref="C25:C32"/>
    <mergeCell ref="C95:C96"/>
  </mergeCells>
  <conditionalFormatting sqref="E98:F1048576 E6:F6">
    <cfRule type="containsText" dxfId="30" priority="45" operator="containsText" text="SI">
      <formula>NOT(ISERROR(SEARCH("SI",E6)))</formula>
    </cfRule>
    <cfRule type="containsText" dxfId="29" priority="46" operator="containsText" text="NO">
      <formula>NOT(ISERROR(SEARCH("NO",E6)))</formula>
    </cfRule>
    <cfRule type="containsText" dxfId="28" priority="47" operator="containsText" text="SI">
      <formula>NOT(ISERROR(SEARCH("SI",E6)))</formula>
    </cfRule>
  </conditionalFormatting>
  <conditionalFormatting sqref="E20 E98:E1048576 E6 E23:E94">
    <cfRule type="containsText" dxfId="27" priority="29" operator="containsText" text="SI">
      <formula>NOT(ISERROR(SEARCH("SI",E6)))</formula>
    </cfRule>
    <cfRule type="containsText" dxfId="26" priority="30" operator="containsText" text="NO">
      <formula>NOT(ISERROR(SEARCH("NO",E6)))</formula>
    </cfRule>
  </conditionalFormatting>
  <conditionalFormatting sqref="E9:E19 E23:E24">
    <cfRule type="containsText" dxfId="25" priority="18" operator="containsText" text="NO">
      <formula>NOT(ISERROR(SEARCH("NO",E9)))</formula>
    </cfRule>
    <cfRule type="containsText" dxfId="24" priority="19" operator="containsText" text="SI">
      <formula>NOT(ISERROR(SEARCH("SI",E9)))</formula>
    </cfRule>
  </conditionalFormatting>
  <conditionalFormatting sqref="E9:E19">
    <cfRule type="containsText" dxfId="23" priority="16" operator="containsText" text="SI">
      <formula>NOT(ISERROR(SEARCH("SI",E9)))</formula>
    </cfRule>
    <cfRule type="containsText" dxfId="22" priority="17" operator="containsText" text="NO">
      <formula>NOT(ISERROR(SEARCH("NO",E9)))</formula>
    </cfRule>
  </conditionalFormatting>
  <conditionalFormatting sqref="E21">
    <cfRule type="containsText" dxfId="21" priority="14" operator="containsText" text="NO">
      <formula>NOT(ISERROR(SEARCH("NO",E21)))</formula>
    </cfRule>
    <cfRule type="containsText" dxfId="20" priority="15" operator="containsText" text="SI">
      <formula>NOT(ISERROR(SEARCH("SI",E21)))</formula>
    </cfRule>
  </conditionalFormatting>
  <conditionalFormatting sqref="E21">
    <cfRule type="containsText" dxfId="19" priority="12" operator="containsText" text="SI">
      <formula>NOT(ISERROR(SEARCH("SI",E21)))</formula>
    </cfRule>
    <cfRule type="containsText" dxfId="18" priority="13" operator="containsText" text="NO">
      <formula>NOT(ISERROR(SEARCH("NO",E21)))</formula>
    </cfRule>
  </conditionalFormatting>
  <conditionalFormatting sqref="E22">
    <cfRule type="containsText" dxfId="17" priority="5" operator="containsText" text="SI">
      <formula>NOT(ISERROR(SEARCH("SI",E22)))</formula>
    </cfRule>
    <cfRule type="containsText" dxfId="16" priority="6" operator="containsText" text="NO">
      <formula>NOT(ISERROR(SEARCH("NO",E22)))</formula>
    </cfRule>
  </conditionalFormatting>
  <conditionalFormatting sqref="E22">
    <cfRule type="containsText" dxfId="15" priority="7" operator="containsText" text="NO">
      <formula>NOT(ISERROR(SEARCH("NO",E22)))</formula>
    </cfRule>
    <cfRule type="containsText" dxfId="14" priority="8" operator="containsText" text="SI">
      <formula>NOT(ISERROR(SEARCH("SI",E22)))</formula>
    </cfRule>
  </conditionalFormatting>
  <conditionalFormatting sqref="E95:E96">
    <cfRule type="containsText" dxfId="13" priority="1" operator="containsText" text="SI">
      <formula>NOT(ISERROR(SEARCH("SI",E95)))</formula>
    </cfRule>
    <cfRule type="containsText" dxfId="12" priority="2" operator="containsText" text="NO">
      <formula>NOT(ISERROR(SEARCH("NO",E95)))</formula>
    </cfRule>
  </conditionalFormatting>
  <printOptions horizontalCentered="1" verticalCentered="1"/>
  <pageMargins left="0.48" right="0.2" top="0.35" bottom="0.32" header="0.3" footer="0.3"/>
  <pageSetup paperSize="9" scale="35" fitToHeight="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048342"/>
  <sheetViews>
    <sheetView showGridLines="0" zoomScale="85" zoomScaleNormal="85" workbookViewId="0">
      <pane xSplit="8" ySplit="4" topLeftCell="I92" activePane="bottomRight" state="frozen"/>
      <selection activeCell="A2" sqref="A1:XFD1048576"/>
      <selection pane="topRight" activeCell="A2" sqref="A1:XFD1048576"/>
      <selection pane="bottomLeft" activeCell="A2" sqref="A1:XFD1048576"/>
      <selection pane="bottomRight" activeCell="L22" sqref="L22"/>
    </sheetView>
  </sheetViews>
  <sheetFormatPr baseColWidth="10" defaultRowHeight="15" x14ac:dyDescent="0.25"/>
  <cols>
    <col min="1" max="1" width="3.5703125" customWidth="1"/>
    <col min="2" max="2" width="3.28515625" style="147" bestFit="1" customWidth="1"/>
    <col min="3" max="3" width="28.7109375" bestFit="1" customWidth="1"/>
    <col min="4" max="4" width="15.5703125" style="7" bestFit="1" customWidth="1"/>
    <col min="5" max="5" width="17.42578125" bestFit="1" customWidth="1"/>
    <col min="6" max="6" width="16.7109375" bestFit="1" customWidth="1"/>
    <col min="7" max="7" width="17.140625" customWidth="1"/>
    <col min="8" max="9" width="17.42578125" bestFit="1" customWidth="1"/>
    <col min="10" max="11" width="16.7109375" style="8" bestFit="1" customWidth="1"/>
    <col min="12" max="12" width="12.85546875" style="8" bestFit="1" customWidth="1"/>
    <col min="13" max="13" width="16.7109375" style="8" bestFit="1" customWidth="1"/>
    <col min="14" max="14" width="16.7109375" bestFit="1" customWidth="1"/>
    <col min="15" max="15" width="18.5703125" customWidth="1"/>
    <col min="16" max="16" width="15.85546875" style="1" customWidth="1"/>
  </cols>
  <sheetData>
    <row r="1" spans="1:16" x14ac:dyDescent="0.25">
      <c r="M1"/>
      <c r="O1" s="1"/>
      <c r="P1"/>
    </row>
    <row r="2" spans="1:16" ht="15.75" thickBot="1" x14ac:dyDescent="0.3">
      <c r="G2" s="7"/>
      <c r="H2" s="7"/>
      <c r="I2" s="7"/>
      <c r="M2"/>
      <c r="O2" s="1"/>
      <c r="P2"/>
    </row>
    <row r="3" spans="1:16" ht="15.75" thickBot="1" x14ac:dyDescent="0.3">
      <c r="A3" s="2"/>
      <c r="C3" s="212" t="s">
        <v>53</v>
      </c>
      <c r="D3" s="213"/>
      <c r="E3" s="213"/>
      <c r="F3" s="213"/>
      <c r="G3" s="213"/>
      <c r="H3" s="425"/>
      <c r="I3" s="600"/>
      <c r="J3" s="213"/>
      <c r="K3" s="213"/>
      <c r="L3" s="213"/>
      <c r="M3" s="213"/>
      <c r="N3" s="213"/>
      <c r="O3" s="542"/>
      <c r="P3"/>
    </row>
    <row r="4" spans="1:16" ht="15.75" customHeight="1" thickBot="1" x14ac:dyDescent="0.3">
      <c r="A4" s="2"/>
      <c r="C4" s="209" t="s">
        <v>0</v>
      </c>
      <c r="D4" s="210" t="s">
        <v>65</v>
      </c>
      <c r="E4" s="209" t="s">
        <v>66</v>
      </c>
      <c r="F4" s="209" t="s">
        <v>1</v>
      </c>
      <c r="G4" s="209" t="s">
        <v>27</v>
      </c>
      <c r="H4" s="145" t="s">
        <v>354</v>
      </c>
      <c r="I4" s="145" t="s">
        <v>109</v>
      </c>
      <c r="J4" s="211" t="s">
        <v>355</v>
      </c>
      <c r="K4" s="152" t="s">
        <v>36</v>
      </c>
      <c r="L4" s="211" t="s">
        <v>67</v>
      </c>
      <c r="M4" s="211" t="s">
        <v>52</v>
      </c>
      <c r="N4" s="211" t="s">
        <v>51</v>
      </c>
      <c r="O4" s="211" t="s">
        <v>50</v>
      </c>
      <c r="P4"/>
    </row>
    <row r="5" spans="1:16" ht="21.95" customHeight="1" x14ac:dyDescent="0.25">
      <c r="A5" s="2"/>
      <c r="B5" s="878" t="s">
        <v>5</v>
      </c>
      <c r="C5" s="394" t="str">
        <f>+'VENTAS 2020'!G9</f>
        <v>PESA</v>
      </c>
      <c r="D5" s="395">
        <f>+'VENTAS 2020'!H9</f>
        <v>43850</v>
      </c>
      <c r="E5" s="394" t="str">
        <f>+'VENTAS 2020'!J9</f>
        <v>11ºC</v>
      </c>
      <c r="F5" s="394" t="str">
        <f>+'VENTAS 2020'!L9</f>
        <v>ARGIA</v>
      </c>
      <c r="G5" s="397">
        <f>+'VENTAS 2020'!M9</f>
        <v>50.6</v>
      </c>
      <c r="H5" s="430">
        <f>+I5*G5</f>
        <v>39713.114754098358</v>
      </c>
      <c r="I5" s="430">
        <v>784.84416510075812</v>
      </c>
      <c r="J5" s="398">
        <f>+'VENTAS 2020'!O9</f>
        <v>3028125</v>
      </c>
      <c r="K5" s="398">
        <f>+'VENTAS 2020'!P9</f>
        <v>59844.367588932808</v>
      </c>
      <c r="L5" s="50"/>
      <c r="M5" s="55"/>
      <c r="N5" s="140"/>
      <c r="O5" s="570"/>
      <c r="P5"/>
    </row>
    <row r="6" spans="1:16" ht="21.95" customHeight="1" x14ac:dyDescent="0.25">
      <c r="A6" s="2"/>
      <c r="B6" s="879"/>
      <c r="C6" s="394" t="str">
        <f>+'VENTAS 2020'!G10</f>
        <v>PESA</v>
      </c>
      <c r="D6" s="395">
        <f>+'VENTAS 2020'!H10</f>
        <v>43850</v>
      </c>
      <c r="E6" s="394" t="str">
        <f>+'VENTAS 2020'!J10</f>
        <v>14ºD</v>
      </c>
      <c r="F6" s="394" t="str">
        <f>+'VENTAS 2020'!L10</f>
        <v>ZOE</v>
      </c>
      <c r="G6" s="397">
        <f>+'VENTAS 2020'!M10</f>
        <v>45.009</v>
      </c>
      <c r="H6" s="430">
        <f t="shared" ref="H6:H65" si="0">+I6*G6</f>
        <v>35210.829639344258</v>
      </c>
      <c r="I6" s="430">
        <v>782.30641959039872</v>
      </c>
      <c r="J6" s="398">
        <f>+'VENTAS 2020'!O10</f>
        <v>2684825.76</v>
      </c>
      <c r="K6" s="398">
        <f>+'VENTAS 2020'!P10</f>
        <v>59650.864493767906</v>
      </c>
      <c r="L6" s="50"/>
      <c r="M6" s="55"/>
      <c r="N6" s="140"/>
      <c r="O6" s="570"/>
      <c r="P6"/>
    </row>
    <row r="7" spans="1:16" ht="21.95" customHeight="1" x14ac:dyDescent="0.25">
      <c r="A7" s="2"/>
      <c r="B7" s="879"/>
      <c r="C7" s="394" t="str">
        <f>+'VENTAS 2020'!G11</f>
        <v>PESA</v>
      </c>
      <c r="D7" s="395">
        <f>+'VENTAS 2020'!H11</f>
        <v>43850</v>
      </c>
      <c r="E7" s="394" t="str">
        <f>+'VENTAS 2020'!J11</f>
        <v>14ºE</v>
      </c>
      <c r="F7" s="394" t="str">
        <f>+'VENTAS 2020'!L11</f>
        <v>ZOE</v>
      </c>
      <c r="G7" s="397">
        <f>+'VENTAS 2020'!M11</f>
        <v>39.24</v>
      </c>
      <c r="H7" s="430">
        <f t="shared" si="0"/>
        <v>30642.558295081966</v>
      </c>
      <c r="I7" s="430">
        <v>780.90107785631915</v>
      </c>
      <c r="J7" s="398">
        <f>+'VENTAS 2020'!O11</f>
        <v>2336495.0699999998</v>
      </c>
      <c r="K7" s="398">
        <f>+'VENTAS 2020'!P11</f>
        <v>59543.707186544336</v>
      </c>
      <c r="L7" s="50"/>
      <c r="M7" s="55"/>
      <c r="N7" s="140"/>
      <c r="O7" s="570"/>
      <c r="P7"/>
    </row>
    <row r="8" spans="1:16" ht="21.95" customHeight="1" x14ac:dyDescent="0.25">
      <c r="A8" s="2"/>
      <c r="B8" s="879"/>
      <c r="C8" s="394" t="str">
        <f>+'VENTAS 2020'!G12</f>
        <v>PESA</v>
      </c>
      <c r="D8" s="395">
        <f>+'VENTAS 2020'!H12</f>
        <v>43850</v>
      </c>
      <c r="E8" s="394" t="str">
        <f>+'VENTAS 2020'!J12</f>
        <v>14ºF</v>
      </c>
      <c r="F8" s="394" t="str">
        <f>+'VENTAS 2020'!L12</f>
        <v>ZOE</v>
      </c>
      <c r="G8" s="397">
        <f>+'VENTAS 2020'!M12</f>
        <v>47.2</v>
      </c>
      <c r="H8" s="430">
        <f t="shared" si="0"/>
        <v>36858.530885245906</v>
      </c>
      <c r="I8" s="430">
        <v>780.90107807724371</v>
      </c>
      <c r="J8" s="398">
        <f>+'VENTAS 2020'!O12</f>
        <v>2810462.98</v>
      </c>
      <c r="K8" s="398">
        <f>+'VENTAS 2020'!P12</f>
        <v>59543.707203389829</v>
      </c>
      <c r="L8" s="50"/>
      <c r="M8" s="55"/>
      <c r="N8" s="140"/>
      <c r="O8" s="570"/>
      <c r="P8"/>
    </row>
    <row r="9" spans="1:16" ht="21.95" customHeight="1" x14ac:dyDescent="0.25">
      <c r="A9" s="2"/>
      <c r="B9" s="879"/>
      <c r="C9" s="394" t="str">
        <f>+'VENTAS 2020'!G13</f>
        <v>PESA</v>
      </c>
      <c r="D9" s="395">
        <f>+'VENTAS 2020'!H13</f>
        <v>43850</v>
      </c>
      <c r="E9" s="394" t="str">
        <f>+'VENTAS 2020'!J13</f>
        <v>14ºH</v>
      </c>
      <c r="F9" s="394" t="str">
        <f>+'VENTAS 2020'!L13</f>
        <v>ZOE</v>
      </c>
      <c r="G9" s="397">
        <f>+'VENTAS 2020'!M13</f>
        <v>46.93</v>
      </c>
      <c r="H9" s="430">
        <f t="shared" si="0"/>
        <v>36647.687606557382</v>
      </c>
      <c r="I9" s="430">
        <v>780.90107834130367</v>
      </c>
      <c r="J9" s="398">
        <f>+'VENTAS 2020'!O13</f>
        <v>2794386.18</v>
      </c>
      <c r="K9" s="398">
        <f>+'VENTAS 2020'!P13</f>
        <v>59543.707223524405</v>
      </c>
      <c r="L9" s="50"/>
      <c r="M9" s="55"/>
      <c r="N9" s="140"/>
      <c r="O9" s="570"/>
      <c r="P9"/>
    </row>
    <row r="10" spans="1:16" ht="21.95" customHeight="1" x14ac:dyDescent="0.25">
      <c r="A10" s="2"/>
      <c r="B10" s="879"/>
      <c r="C10" s="394" t="str">
        <f>+'VENTAS 2020'!G14</f>
        <v>PESA</v>
      </c>
      <c r="D10" s="395">
        <f>+'VENTAS 2020'!H14</f>
        <v>43850</v>
      </c>
      <c r="E10" s="394" t="str">
        <f>+'VENTAS 2020'!J14</f>
        <v>COCH 12</v>
      </c>
      <c r="F10" s="394" t="str">
        <f>+'VENTAS 2020'!L14</f>
        <v>ZOE</v>
      </c>
      <c r="G10" s="397">
        <f>+'VENTAS 2020'!M14</f>
        <v>19.43</v>
      </c>
      <c r="H10" s="430">
        <f t="shared" si="0"/>
        <v>0</v>
      </c>
      <c r="I10" s="430">
        <v>0</v>
      </c>
      <c r="J10" s="398">
        <f>+'VENTAS 2020'!O14</f>
        <v>959001.73</v>
      </c>
      <c r="K10" s="398">
        <f>+'VENTAS 2020'!P14</f>
        <v>49356.753988677301</v>
      </c>
      <c r="L10" s="50"/>
      <c r="M10" s="55" t="s">
        <v>38</v>
      </c>
      <c r="N10" s="140"/>
      <c r="O10" s="570"/>
      <c r="P10"/>
    </row>
    <row r="11" spans="1:16" ht="21.95" customHeight="1" x14ac:dyDescent="0.25">
      <c r="A11" s="2"/>
      <c r="B11" s="879"/>
      <c r="C11" s="394" t="str">
        <f>+'VENTAS 2020'!G15</f>
        <v>PESA</v>
      </c>
      <c r="D11" s="395">
        <f>+'VENTAS 2020'!H15</f>
        <v>43850</v>
      </c>
      <c r="E11" s="394" t="str">
        <f>+'VENTAS 2020'!J15</f>
        <v>COCH 13</v>
      </c>
      <c r="F11" s="394" t="str">
        <f>+'VENTAS 2020'!L15</f>
        <v>ZOE</v>
      </c>
      <c r="G11" s="397">
        <f>+'VENTAS 2020'!M15</f>
        <v>19.43</v>
      </c>
      <c r="H11" s="430">
        <f t="shared" si="0"/>
        <v>0</v>
      </c>
      <c r="I11" s="430">
        <v>0</v>
      </c>
      <c r="J11" s="398">
        <f>+'VENTAS 2020'!O15</f>
        <v>959001.73</v>
      </c>
      <c r="K11" s="398">
        <f>+'VENTAS 2020'!P15</f>
        <v>49356.753988677301</v>
      </c>
      <c r="L11" s="50"/>
      <c r="M11" s="55"/>
      <c r="N11" s="140"/>
      <c r="O11" s="570"/>
      <c r="P11"/>
    </row>
    <row r="12" spans="1:16" ht="21.95" customHeight="1" x14ac:dyDescent="0.25">
      <c r="A12" s="2"/>
      <c r="B12" s="879"/>
      <c r="C12" s="394" t="str">
        <f>+'VENTAS 2020'!G16</f>
        <v>MEDINA SANDRA</v>
      </c>
      <c r="D12" s="395">
        <f>+'VENTAS 2020'!H16</f>
        <v>43859</v>
      </c>
      <c r="E12" s="394" t="str">
        <f>+'VENTAS 2020'!J16</f>
        <v>11ºB</v>
      </c>
      <c r="F12" s="394" t="str">
        <f>+'VENTAS 2020'!L16</f>
        <v>RED</v>
      </c>
      <c r="G12" s="397">
        <f>+'VENTAS 2020'!M16</f>
        <v>113.07</v>
      </c>
      <c r="H12" s="430">
        <f t="shared" si="0"/>
        <v>104896.74054758799</v>
      </c>
      <c r="I12" s="430">
        <v>927.71504862110203</v>
      </c>
      <c r="J12" s="398">
        <f>+'VENTAS 2020'!O16</f>
        <v>8045580</v>
      </c>
      <c r="K12" s="398">
        <f>+'VENTAS 2020'!P16</f>
        <v>71155.744229238524</v>
      </c>
      <c r="L12" s="50"/>
      <c r="M12" s="55"/>
      <c r="N12" s="140"/>
      <c r="O12" s="570"/>
      <c r="P12"/>
    </row>
    <row r="13" spans="1:16" ht="21.95" customHeight="1" x14ac:dyDescent="0.25">
      <c r="A13" s="2"/>
      <c r="B13" s="879"/>
      <c r="C13" s="394" t="str">
        <f>+'VENTAS 2020'!G17</f>
        <v>MEDINA SANDRA</v>
      </c>
      <c r="D13" s="395">
        <f>+'VENTAS 2020'!H17</f>
        <v>43859</v>
      </c>
      <c r="E13" s="394" t="str">
        <f>+'VENTAS 2020'!J17</f>
        <v>COCH 5</v>
      </c>
      <c r="F13" s="394" t="str">
        <f>+'VENTAS 2020'!L17</f>
        <v>RED</v>
      </c>
      <c r="G13" s="397">
        <f>+'VENTAS 2020'!M17</f>
        <v>20.66</v>
      </c>
      <c r="H13" s="430">
        <f t="shared" si="0"/>
        <v>0</v>
      </c>
      <c r="I13" s="430">
        <v>0</v>
      </c>
      <c r="J13" s="398">
        <f>+'VENTAS 2020'!O17</f>
        <v>1060996</v>
      </c>
      <c r="K13" s="398">
        <f>+'VENTAS 2020'!P17</f>
        <v>51355.082284607939</v>
      </c>
      <c r="L13" s="50"/>
      <c r="M13" s="55"/>
      <c r="N13" s="140"/>
      <c r="O13" s="570"/>
      <c r="P13"/>
    </row>
    <row r="14" spans="1:16" ht="21.95" customHeight="1" x14ac:dyDescent="0.25">
      <c r="A14" s="2"/>
      <c r="B14" s="879"/>
      <c r="C14" s="394" t="str">
        <f>+'VENTAS 2020'!G18</f>
        <v>SFAELLO</v>
      </c>
      <c r="D14" s="395">
        <f>+'VENTAS 2020'!H18</f>
        <v>43859</v>
      </c>
      <c r="E14" s="394" t="str">
        <f>+'VENTAS 2020'!J18</f>
        <v>4ºE</v>
      </c>
      <c r="F14" s="394" t="str">
        <f>+'VENTAS 2020'!L18</f>
        <v>RED</v>
      </c>
      <c r="G14" s="397">
        <f>+'VENTAS 2020'!M18</f>
        <v>47.77</v>
      </c>
      <c r="H14" s="430">
        <f t="shared" si="0"/>
        <v>37258.083441981747</v>
      </c>
      <c r="I14" s="430">
        <v>779.94731927950056</v>
      </c>
      <c r="J14" s="398">
        <f>+'VENTAS 2020'!O18</f>
        <v>2857695</v>
      </c>
      <c r="K14" s="398">
        <f>+'VENTAS 2020'!P18</f>
        <v>59821.959388737698</v>
      </c>
      <c r="L14" s="50"/>
      <c r="M14" s="55"/>
      <c r="N14" s="140"/>
      <c r="O14" s="570"/>
      <c r="P14"/>
    </row>
    <row r="15" spans="1:16" ht="21.95" customHeight="1" thickBot="1" x14ac:dyDescent="0.3">
      <c r="A15" s="2"/>
      <c r="B15" s="910"/>
      <c r="C15" s="394" t="str">
        <f>+'VENTAS 2020'!G19</f>
        <v xml:space="preserve">CASTELLANI </v>
      </c>
      <c r="D15" s="395">
        <f>+'VENTAS 2020'!H19</f>
        <v>43859</v>
      </c>
      <c r="E15" s="394" t="str">
        <f>+'VENTAS 2020'!J19</f>
        <v>11ºH</v>
      </c>
      <c r="F15" s="394" t="str">
        <f>+'VENTAS 2020'!L19</f>
        <v>ZOE</v>
      </c>
      <c r="G15" s="397">
        <f>+'VENTAS 2020'!M19</f>
        <v>46.93</v>
      </c>
      <c r="H15" s="430">
        <f t="shared" si="0"/>
        <v>39318.40938722295</v>
      </c>
      <c r="I15" s="430">
        <v>837.80970354193369</v>
      </c>
      <c r="J15" s="398">
        <f>+'VENTAS 2020'!O19</f>
        <v>3015722</v>
      </c>
      <c r="K15" s="398">
        <f>+'VENTAS 2020'!P19</f>
        <v>64260.004261666312</v>
      </c>
      <c r="L15" s="146" t="s">
        <v>49</v>
      </c>
      <c r="M15" s="51">
        <f>SUM(J5:J15)</f>
        <v>30552291.450000003</v>
      </c>
      <c r="N15" s="149">
        <v>5920</v>
      </c>
      <c r="O15" s="571">
        <f>+M15/N15</f>
        <v>5160.8600422297304</v>
      </c>
      <c r="P15"/>
    </row>
    <row r="16" spans="1:16" ht="45.75" customHeight="1" thickBot="1" x14ac:dyDescent="0.3">
      <c r="A16" s="2"/>
      <c r="B16" s="399" t="s">
        <v>10</v>
      </c>
      <c r="C16" s="401" t="str">
        <f>+'VENTAS 2020'!G20</f>
        <v>RODRIGUEZ REY LUCIANO</v>
      </c>
      <c r="D16" s="402">
        <f>+'VENTAS 2020'!H20</f>
        <v>43872</v>
      </c>
      <c r="E16" s="401" t="str">
        <f>+'VENTAS 2020'!J20</f>
        <v>1°E</v>
      </c>
      <c r="F16" s="401" t="str">
        <f>+'VENTAS 2020'!L20</f>
        <v>ZOE</v>
      </c>
      <c r="G16" s="403">
        <f>+'VENTAS 2020'!M20</f>
        <v>39.24</v>
      </c>
      <c r="H16" s="431">
        <f t="shared" si="0"/>
        <v>30361.990950226245</v>
      </c>
      <c r="I16" s="431">
        <v>773.75104358374733</v>
      </c>
      <c r="J16" s="404">
        <f>+'VENTAS 2020'!O20</f>
        <v>2348500</v>
      </c>
      <c r="K16" s="404">
        <f>+'VENTAS 2020'!P20</f>
        <v>59849.643221202852</v>
      </c>
      <c r="L16" s="146" t="s">
        <v>48</v>
      </c>
      <c r="M16" s="51">
        <f>SUM(J16)</f>
        <v>2348500</v>
      </c>
      <c r="N16" s="149">
        <v>6055</v>
      </c>
      <c r="O16" s="571">
        <f>+M16/N16</f>
        <v>387.86127167630059</v>
      </c>
      <c r="P16"/>
    </row>
    <row r="17" spans="1:16" ht="21.95" customHeight="1" x14ac:dyDescent="0.25">
      <c r="A17" s="2"/>
      <c r="B17" s="878" t="s">
        <v>11</v>
      </c>
      <c r="C17" s="394" t="str">
        <f>+'VENTAS 2020'!G21</f>
        <v>RODRIGUEZ REY LUCIANO</v>
      </c>
      <c r="D17" s="395">
        <f>+'VENTAS 2020'!H21</f>
        <v>43894</v>
      </c>
      <c r="E17" s="394" t="str">
        <f>+'VENTAS 2020'!J21</f>
        <v>11°E</v>
      </c>
      <c r="F17" s="394" t="str">
        <f>+'VENTAS 2020'!L21</f>
        <v>ZOE</v>
      </c>
      <c r="G17" s="397">
        <f>+'VENTAS 2020'!M21</f>
        <v>39.24</v>
      </c>
      <c r="H17" s="430">
        <f t="shared" si="0"/>
        <v>28218.465539661898</v>
      </c>
      <c r="I17" s="430">
        <v>719.1250137528516</v>
      </c>
      <c r="J17" s="398">
        <f>+'VENTAS 2020'!O21</f>
        <v>2170000</v>
      </c>
      <c r="K17" s="398">
        <f>+'VENTAS 2020'!P21</f>
        <v>55300.713557594288</v>
      </c>
      <c r="L17" s="61"/>
      <c r="M17" s="60"/>
      <c r="N17" s="60"/>
      <c r="O17" s="572"/>
      <c r="P17"/>
    </row>
    <row r="18" spans="1:16" ht="21.95" customHeight="1" x14ac:dyDescent="0.25">
      <c r="A18" s="2"/>
      <c r="B18" s="879"/>
      <c r="C18" s="394" t="str">
        <f>+'VENTAS 2020'!G22</f>
        <v>RODRIGUEZ REY MARIANA</v>
      </c>
      <c r="D18" s="395">
        <f>+'VENTAS 2020'!H22</f>
        <v>43894</v>
      </c>
      <c r="E18" s="394" t="str">
        <f>+'VENTAS 2020'!J22</f>
        <v>9°E</v>
      </c>
      <c r="F18" s="394" t="str">
        <f>+'VENTAS 2020'!L22</f>
        <v>ZOE</v>
      </c>
      <c r="G18" s="397">
        <f>+'VENTAS 2020'!M22</f>
        <v>39.24</v>
      </c>
      <c r="H18" s="430">
        <f t="shared" si="0"/>
        <v>28218.465539661898</v>
      </c>
      <c r="I18" s="430">
        <v>719.1250137528516</v>
      </c>
      <c r="J18" s="398">
        <f>+'VENTAS 2020'!O22</f>
        <v>2170000</v>
      </c>
      <c r="K18" s="398">
        <f>+'VENTAS 2020'!P22</f>
        <v>55300.713557594288</v>
      </c>
      <c r="L18" s="50"/>
      <c r="M18" s="60"/>
      <c r="N18" s="60"/>
      <c r="O18" s="572"/>
      <c r="P18"/>
    </row>
    <row r="19" spans="1:16" ht="21.95" customHeight="1" x14ac:dyDescent="0.25">
      <c r="A19" s="2"/>
      <c r="B19" s="879"/>
      <c r="C19" s="394" t="str">
        <f>+'VENTAS 2020'!G23</f>
        <v>RODRIGUEZ REY JUAN MANUEL</v>
      </c>
      <c r="D19" s="395">
        <f>+'VENTAS 2020'!H23</f>
        <v>43901</v>
      </c>
      <c r="E19" s="394" t="str">
        <f>+'VENTAS 2020'!J23</f>
        <v>12°E</v>
      </c>
      <c r="F19" s="394" t="str">
        <f>+'VENTAS 2020'!L23</f>
        <v>ZOE</v>
      </c>
      <c r="G19" s="397">
        <f>+'VENTAS 2020'!M23</f>
        <v>39.24</v>
      </c>
      <c r="H19" s="430">
        <f t="shared" si="0"/>
        <v>28582.57477243173</v>
      </c>
      <c r="I19" s="430">
        <v>728.40404618837226</v>
      </c>
      <c r="J19" s="398">
        <f>+'VENTAS 2020'!O23</f>
        <v>2198000</v>
      </c>
      <c r="K19" s="398">
        <f>+'VENTAS 2020'!P23</f>
        <v>56014.271151885827</v>
      </c>
      <c r="L19" s="50"/>
      <c r="M19" s="60"/>
      <c r="N19" s="60"/>
      <c r="O19" s="572"/>
      <c r="P19"/>
    </row>
    <row r="20" spans="1:16" ht="21.95" customHeight="1" thickBot="1" x14ac:dyDescent="0.3">
      <c r="A20" s="2"/>
      <c r="B20" s="910"/>
      <c r="C20" s="394" t="str">
        <f>+'VENTAS 2020'!G24</f>
        <v>CASTILLO MERILES KARINA</v>
      </c>
      <c r="D20" s="395">
        <f>+'VENTAS 2020'!H24</f>
        <v>43901</v>
      </c>
      <c r="E20" s="394" t="str">
        <f>+'VENTAS 2020'!J24</f>
        <v>PBD</v>
      </c>
      <c r="F20" s="394" t="str">
        <f>+'VENTAS 2020'!L24</f>
        <v>GREEN</v>
      </c>
      <c r="G20" s="397">
        <f>+'VENTAS 2020'!M24</f>
        <v>67.7</v>
      </c>
      <c r="H20" s="430">
        <f t="shared" si="0"/>
        <v>46771.174415335467</v>
      </c>
      <c r="I20" s="430">
        <v>690.85929712460063</v>
      </c>
      <c r="J20" s="398">
        <f>+'VENTAS 2020'!O24</f>
        <v>3659844.4176596506</v>
      </c>
      <c r="K20" s="398">
        <f>+'VENTAS 2020'!P24</f>
        <v>54059.740290393653</v>
      </c>
      <c r="L20" s="146" t="s">
        <v>47</v>
      </c>
      <c r="M20" s="51">
        <f>SUM(J17:J20)</f>
        <v>10197844.417659651</v>
      </c>
      <c r="N20" s="149">
        <v>6205</v>
      </c>
      <c r="O20" s="571">
        <f>+M20/N20</f>
        <v>1643.4882220241179</v>
      </c>
      <c r="P20"/>
    </row>
    <row r="21" spans="1:16" ht="28.5" thickBot="1" x14ac:dyDescent="0.3">
      <c r="A21" s="2"/>
      <c r="B21" s="400" t="s">
        <v>12</v>
      </c>
      <c r="C21" s="401"/>
      <c r="D21" s="402"/>
      <c r="E21" s="401"/>
      <c r="F21" s="401"/>
      <c r="G21" s="403"/>
      <c r="H21" s="431">
        <f t="shared" si="0"/>
        <v>0</v>
      </c>
      <c r="I21" s="431"/>
      <c r="J21" s="404">
        <v>0</v>
      </c>
      <c r="K21" s="404">
        <v>0</v>
      </c>
      <c r="L21" s="146" t="s">
        <v>12</v>
      </c>
      <c r="M21" s="51">
        <f>+J21</f>
        <v>0</v>
      </c>
      <c r="N21" s="149">
        <v>6205</v>
      </c>
      <c r="O21" s="571">
        <f>+M21/N21</f>
        <v>0</v>
      </c>
      <c r="P21"/>
    </row>
    <row r="22" spans="1:16" ht="21.95" customHeight="1" x14ac:dyDescent="0.25">
      <c r="A22" s="2"/>
      <c r="B22" s="878" t="s">
        <v>15</v>
      </c>
      <c r="C22" s="394" t="str">
        <f>+'VENTAS 2020'!G25</f>
        <v>FALU RICARDO</v>
      </c>
      <c r="D22" s="395">
        <f>+'VENTAS 2020'!H25</f>
        <v>43964</v>
      </c>
      <c r="E22" s="394" t="str">
        <f>+'VENTAS 2020'!J25</f>
        <v>16ºE</v>
      </c>
      <c r="F22" s="394" t="str">
        <f>+'VENTAS 2020'!L25</f>
        <v>ZOE</v>
      </c>
      <c r="G22" s="397">
        <f>+'VENTAS 2020'!M25</f>
        <v>39.24</v>
      </c>
      <c r="H22" s="430">
        <f t="shared" si="0"/>
        <v>20000</v>
      </c>
      <c r="I22" s="430">
        <f>+K22/120</f>
        <v>509.68399592252803</v>
      </c>
      <c r="J22" s="398">
        <f>+'VENTAS 2020'!O25</f>
        <v>2400000</v>
      </c>
      <c r="K22" s="398">
        <f>+'VENTAS 2020'!P25</f>
        <v>61162.079510703363</v>
      </c>
      <c r="L22" s="50"/>
      <c r="M22" s="218"/>
      <c r="N22" s="218"/>
      <c r="O22" s="573"/>
      <c r="P22"/>
    </row>
    <row r="23" spans="1:16" ht="21.95" customHeight="1" x14ac:dyDescent="0.25">
      <c r="A23" s="2"/>
      <c r="B23" s="879"/>
      <c r="C23" s="394" t="str">
        <f>+'VENTAS 2020'!G26</f>
        <v>FALU RICARDO</v>
      </c>
      <c r="D23" s="395">
        <f>+'VENTAS 2020'!H26</f>
        <v>43964</v>
      </c>
      <c r="E23" s="394" t="str">
        <f>+'VENTAS 2020'!J26</f>
        <v>17ºE</v>
      </c>
      <c r="F23" s="394" t="str">
        <f>+'VENTAS 2020'!L26</f>
        <v>ZOE</v>
      </c>
      <c r="G23" s="397">
        <f>+'VENTAS 2020'!M26</f>
        <v>39.24</v>
      </c>
      <c r="H23" s="430">
        <f t="shared" si="0"/>
        <v>20000</v>
      </c>
      <c r="I23" s="430">
        <f>+K23/120</f>
        <v>509.68399592252803</v>
      </c>
      <c r="J23" s="398">
        <f>+'VENTAS 2020'!O26</f>
        <v>2400000</v>
      </c>
      <c r="K23" s="398">
        <f>+'VENTAS 2020'!P26</f>
        <v>61162.079510703363</v>
      </c>
      <c r="L23" s="50"/>
      <c r="M23" s="218"/>
      <c r="N23" s="218"/>
      <c r="O23" s="573"/>
      <c r="P23"/>
    </row>
    <row r="24" spans="1:16" ht="21.95" customHeight="1" x14ac:dyDescent="0.25">
      <c r="A24" s="2"/>
      <c r="B24" s="879"/>
      <c r="C24" s="394" t="str">
        <f>+'VENTAS 2020'!G27</f>
        <v>WALTER SPINDLER</v>
      </c>
      <c r="D24" s="395">
        <f>+'VENTAS 2020'!H27</f>
        <v>43965</v>
      </c>
      <c r="E24" s="394" t="str">
        <f>+'VENTAS 2020'!J27</f>
        <v>12ºG</v>
      </c>
      <c r="F24" s="394" t="str">
        <f>+'VENTAS 2020'!L27</f>
        <v>ZOE</v>
      </c>
      <c r="G24" s="397">
        <f>+'VENTAS 2020'!M27</f>
        <v>38.99</v>
      </c>
      <c r="H24" s="430">
        <f t="shared" si="0"/>
        <v>20000.000000000004</v>
      </c>
      <c r="I24" s="430">
        <f>+K24/130</f>
        <v>512.952038984355</v>
      </c>
      <c r="J24" s="398">
        <f>+'VENTAS 2020'!O27</f>
        <v>2600000</v>
      </c>
      <c r="K24" s="398">
        <f>+'VENTAS 2020'!P27</f>
        <v>66683.765067966146</v>
      </c>
      <c r="L24" s="50"/>
      <c r="M24" s="218"/>
      <c r="N24" s="218"/>
      <c r="O24" s="573"/>
      <c r="P24"/>
    </row>
    <row r="25" spans="1:16" ht="21.95" customHeight="1" x14ac:dyDescent="0.25">
      <c r="A25" s="2"/>
      <c r="B25" s="879"/>
      <c r="C25" s="394" t="str">
        <f>+'VENTAS 2020'!G28</f>
        <v>MARTINEZ MARCELO</v>
      </c>
      <c r="D25" s="395">
        <f>+'VENTAS 2020'!H28</f>
        <v>43969</v>
      </c>
      <c r="E25" s="394" t="str">
        <f>+'VENTAS 2020'!J28</f>
        <v>6°D</v>
      </c>
      <c r="F25" s="394" t="str">
        <f>+'VENTAS 2020'!L28</f>
        <v>BLUE</v>
      </c>
      <c r="G25" s="397">
        <f>+'VENTAS 2020'!M28</f>
        <v>47.77</v>
      </c>
      <c r="H25" s="430">
        <f t="shared" si="0"/>
        <v>24306.484789433802</v>
      </c>
      <c r="I25" s="430">
        <f>+K25/127</f>
        <v>508.82321099924218</v>
      </c>
      <c r="J25" s="398">
        <f>+'VENTAS 2020'!O28</f>
        <v>3086923.5682580927</v>
      </c>
      <c r="K25" s="398">
        <f>+'VENTAS 2020'!P28</f>
        <v>64620.54779690376</v>
      </c>
      <c r="L25" s="50"/>
      <c r="M25" s="218"/>
      <c r="N25" s="218"/>
      <c r="O25" s="573"/>
      <c r="P25"/>
    </row>
    <row r="26" spans="1:16" ht="21.95" customHeight="1" x14ac:dyDescent="0.25">
      <c r="A26" s="2"/>
      <c r="B26" s="879"/>
      <c r="C26" s="394" t="str">
        <f>+'VENTAS 2020'!G29</f>
        <v>MARTINEZ MARCELO</v>
      </c>
      <c r="D26" s="395">
        <f>+'VENTAS 2020'!H29</f>
        <v>43969</v>
      </c>
      <c r="E26" s="394" t="str">
        <f>+'VENTAS 2020'!J29</f>
        <v>6°E</v>
      </c>
      <c r="F26" s="394" t="str">
        <f>+'VENTAS 2020'!L29</f>
        <v>BLUE</v>
      </c>
      <c r="G26" s="397">
        <f>+'VENTAS 2020'!M29</f>
        <v>41.43</v>
      </c>
      <c r="H26" s="430">
        <f t="shared" si="0"/>
        <v>21080.545631698595</v>
      </c>
      <c r="I26" s="430">
        <f>+K26/127</f>
        <v>508.82321099924201</v>
      </c>
      <c r="J26" s="398">
        <f>+'VENTAS 2020'!O29</f>
        <v>2677229.2952257218</v>
      </c>
      <c r="K26" s="398">
        <f>+'VENTAS 2020'!P29</f>
        <v>64620.547796903738</v>
      </c>
      <c r="L26" s="61"/>
      <c r="M26" s="60"/>
      <c r="N26" s="60"/>
      <c r="O26" s="572"/>
      <c r="P26"/>
    </row>
    <row r="27" spans="1:16" ht="21.95" customHeight="1" x14ac:dyDescent="0.25">
      <c r="A27" s="2"/>
      <c r="B27" s="879"/>
      <c r="C27" s="394" t="str">
        <f>+'VENTAS 2020'!G30</f>
        <v>MARTINEZ MARCELO</v>
      </c>
      <c r="D27" s="395">
        <f>+'VENTAS 2020'!H30</f>
        <v>43969</v>
      </c>
      <c r="E27" s="394" t="str">
        <f>+'VENTAS 2020'!J30</f>
        <v>11°D</v>
      </c>
      <c r="F27" s="394" t="str">
        <f>+'VENTAS 2020'!L30</f>
        <v>BLUE</v>
      </c>
      <c r="G27" s="397">
        <f>+'VENTAS 2020'!M30</f>
        <v>47.77</v>
      </c>
      <c r="H27" s="430">
        <f t="shared" si="0"/>
        <v>24306.484789433802</v>
      </c>
      <c r="I27" s="430">
        <f>+K27/127</f>
        <v>508.82321099924218</v>
      </c>
      <c r="J27" s="398">
        <f>+'VENTAS 2020'!O30</f>
        <v>3086923.5682580927</v>
      </c>
      <c r="K27" s="398">
        <f>+'VENTAS 2020'!P30</f>
        <v>64620.54779690376</v>
      </c>
      <c r="L27" s="61"/>
      <c r="M27" s="60"/>
      <c r="N27" s="60"/>
      <c r="O27" s="572"/>
      <c r="P27"/>
    </row>
    <row r="28" spans="1:16" ht="21.95" customHeight="1" x14ac:dyDescent="0.25">
      <c r="A28" s="2"/>
      <c r="B28" s="879"/>
      <c r="C28" s="394" t="str">
        <f>+'VENTAS 2020'!G31</f>
        <v>MARTINEZ MARCELO</v>
      </c>
      <c r="D28" s="395">
        <f>+'VENTAS 2020'!H31</f>
        <v>43969</v>
      </c>
      <c r="E28" s="394" t="str">
        <f>+'VENTAS 2020'!J31</f>
        <v xml:space="preserve">13°D </v>
      </c>
      <c r="F28" s="394" t="str">
        <f>+'VENTAS 2020'!L31</f>
        <v>BLUE</v>
      </c>
      <c r="G28" s="397">
        <f>+'VENTAS 2020'!M31</f>
        <v>47.77</v>
      </c>
      <c r="H28" s="430">
        <f t="shared" si="0"/>
        <v>24306.484789433802</v>
      </c>
      <c r="I28" s="430">
        <f>+K28/127</f>
        <v>508.82321099924218</v>
      </c>
      <c r="J28" s="398">
        <f>+'VENTAS 2020'!O31</f>
        <v>3086923.5682580927</v>
      </c>
      <c r="K28" s="398">
        <f>+'VENTAS 2020'!P31</f>
        <v>64620.54779690376</v>
      </c>
      <c r="L28" s="61"/>
      <c r="M28" s="60"/>
      <c r="N28" s="60"/>
      <c r="O28" s="572"/>
      <c r="P28"/>
    </row>
    <row r="29" spans="1:16" ht="21.95" customHeight="1" x14ac:dyDescent="0.25">
      <c r="A29" s="2"/>
      <c r="B29" s="879"/>
      <c r="C29" s="394" t="str">
        <f>+'VENTAS 2020'!G32</f>
        <v xml:space="preserve">CARIGNANO RAUL JUAN </v>
      </c>
      <c r="D29" s="395">
        <f>+'VENTAS 2020'!H32</f>
        <v>43973</v>
      </c>
      <c r="E29" s="394" t="str">
        <f>+'VENTAS 2020'!J32</f>
        <v>3ºA</v>
      </c>
      <c r="F29" s="394" t="str">
        <f>+'VENTAS 2020'!L32</f>
        <v>ZOE</v>
      </c>
      <c r="G29" s="397">
        <f>+'VENTAS 2020'!M32</f>
        <v>75.67</v>
      </c>
      <c r="H29" s="430">
        <f t="shared" si="0"/>
        <v>41650.412373802697</v>
      </c>
      <c r="I29" s="430">
        <f>+K29/115</f>
        <v>550.42173085506408</v>
      </c>
      <c r="J29" s="398">
        <f>+'VENTAS 2020'!O32</f>
        <v>4789797.4229873102</v>
      </c>
      <c r="K29" s="398">
        <f>+'VENTAS 2020'!P32</f>
        <v>63298.499048332364</v>
      </c>
      <c r="L29" s="61"/>
      <c r="M29" s="60"/>
      <c r="N29" s="60"/>
      <c r="O29" s="572"/>
      <c r="P29"/>
    </row>
    <row r="30" spans="1:16" ht="21.95" customHeight="1" thickBot="1" x14ac:dyDescent="0.3">
      <c r="A30" s="2"/>
      <c r="B30" s="879"/>
      <c r="C30" s="394" t="str">
        <f>+'VENTAS 2020'!G33</f>
        <v xml:space="preserve">CARIGNANO RAUL JUAN </v>
      </c>
      <c r="D30" s="395">
        <f>+'VENTAS 2020'!H33</f>
        <v>43973</v>
      </c>
      <c r="E30" s="394" t="str">
        <f>+'VENTAS 2020'!J33</f>
        <v>3ºC</v>
      </c>
      <c r="F30" s="394" t="str">
        <f>+'VENTAS 2020'!L33</f>
        <v>ZOE</v>
      </c>
      <c r="G30" s="397">
        <f>+'VENTAS 2020'!M33</f>
        <v>78.52</v>
      </c>
      <c r="H30" s="430">
        <f t="shared" si="0"/>
        <v>43219.112843588606</v>
      </c>
      <c r="I30" s="430">
        <f>+K30/115</f>
        <v>550.4217122209451</v>
      </c>
      <c r="J30" s="398">
        <f>+'VENTAS 2020'!O33</f>
        <v>4970197.9770126902</v>
      </c>
      <c r="K30" s="398">
        <f>+'VENTAS 2020'!P33</f>
        <v>63298.496905408691</v>
      </c>
      <c r="L30" s="146" t="s">
        <v>46</v>
      </c>
      <c r="M30" s="51">
        <f>SUM(J22:J30)</f>
        <v>29097995.399999995</v>
      </c>
      <c r="N30" s="149">
        <v>6205</v>
      </c>
      <c r="O30" s="574">
        <f>+M30/N30</f>
        <v>4689.4432554391615</v>
      </c>
      <c r="P30"/>
    </row>
    <row r="31" spans="1:16" ht="21.75" customHeight="1" x14ac:dyDescent="0.25">
      <c r="A31" s="4"/>
      <c r="B31" s="878" t="s">
        <v>24</v>
      </c>
      <c r="C31" s="401" t="str">
        <f>+'VENTAS 2020'!G34</f>
        <v>TOMISC SERGIO</v>
      </c>
      <c r="D31" s="402">
        <f>+'VENTAS 2020'!H34</f>
        <v>43983</v>
      </c>
      <c r="E31" s="401" t="str">
        <f>+'VENTAS 2020'!J34</f>
        <v>3ºD</v>
      </c>
      <c r="F31" s="401" t="str">
        <f>+'VENTAS 2020'!L34</f>
        <v>ZOE</v>
      </c>
      <c r="G31" s="403">
        <f>+'VENTAS 2020'!M34</f>
        <v>45.09</v>
      </c>
      <c r="H31" s="431">
        <f t="shared" si="0"/>
        <v>27793.330434782609</v>
      </c>
      <c r="I31" s="431">
        <f>+K31/115</f>
        <v>616.39677167404318</v>
      </c>
      <c r="J31" s="404">
        <f>+'VENTAS 2020'!O34</f>
        <v>3196233</v>
      </c>
      <c r="K31" s="404">
        <f>+'VENTAS 2020'!P34</f>
        <v>70885.628742514964</v>
      </c>
      <c r="M31"/>
      <c r="O31" s="1"/>
      <c r="P31"/>
    </row>
    <row r="32" spans="1:16" ht="21.95" customHeight="1" x14ac:dyDescent="0.25">
      <c r="A32" s="4"/>
      <c r="B32" s="879"/>
      <c r="C32" s="401" t="str">
        <f>+'VENTAS 2020'!G35</f>
        <v>TOMISC SERGIO</v>
      </c>
      <c r="D32" s="402">
        <f>+'VENTAS 2020'!H35</f>
        <v>43983</v>
      </c>
      <c r="E32" s="401" t="str">
        <f>+'VENTAS 2020'!J35</f>
        <v>4ºD</v>
      </c>
      <c r="F32" s="401" t="str">
        <f>+'VENTAS 2020'!L35</f>
        <v>ZOE</v>
      </c>
      <c r="G32" s="403">
        <f>+'VENTAS 2020'!M35</f>
        <v>45.09</v>
      </c>
      <c r="H32" s="431">
        <f t="shared" si="0"/>
        <v>27793.330434782609</v>
      </c>
      <c r="I32" s="431">
        <f>+K32/115</f>
        <v>616.39677167404318</v>
      </c>
      <c r="J32" s="404">
        <f>+'VENTAS 2020'!O35</f>
        <v>3196233</v>
      </c>
      <c r="K32" s="404">
        <f>+'VENTAS 2020'!P35</f>
        <v>70885.628742514964</v>
      </c>
      <c r="M32"/>
      <c r="O32" s="1"/>
      <c r="P32"/>
    </row>
    <row r="33" spans="1:16" ht="21.95" customHeight="1" x14ac:dyDescent="0.25">
      <c r="A33" s="4"/>
      <c r="B33" s="879"/>
      <c r="C33" s="401" t="str">
        <f>+'VENTAS 2020'!G36</f>
        <v>CUDMANI GERMAN</v>
      </c>
      <c r="D33" s="402">
        <f>+'VENTAS 2020'!H36</f>
        <v>43985</v>
      </c>
      <c r="E33" s="401" t="str">
        <f>+'VENTAS 2020'!J36</f>
        <v>10°D</v>
      </c>
      <c r="F33" s="401" t="str">
        <f>+'VENTAS 2020'!L36</f>
        <v>ZOE</v>
      </c>
      <c r="G33" s="403">
        <f>+'VENTAS 2020'!M36</f>
        <v>45.09</v>
      </c>
      <c r="H33" s="431">
        <f t="shared" si="0"/>
        <v>23644.756097560978</v>
      </c>
      <c r="I33" s="431">
        <f t="shared" ref="I33:I38" si="1">+K33/123</f>
        <v>524.39024390243901</v>
      </c>
      <c r="J33" s="404">
        <f>+'VENTAS 2020'!O36</f>
        <v>2908305</v>
      </c>
      <c r="K33" s="404">
        <f>+'VENTAS 2020'!P36</f>
        <v>64499.999999999993</v>
      </c>
      <c r="L33" s="50"/>
      <c r="M33"/>
      <c r="O33" s="570"/>
      <c r="P33"/>
    </row>
    <row r="34" spans="1:16" ht="21.95" customHeight="1" x14ac:dyDescent="0.25">
      <c r="A34" s="4"/>
      <c r="B34" s="879"/>
      <c r="C34" s="401" t="str">
        <f>+'VENTAS 2020'!G37</f>
        <v>CUDMANI GERMAN</v>
      </c>
      <c r="D34" s="402">
        <f>+'VENTAS 2020'!H37</f>
        <v>43985</v>
      </c>
      <c r="E34" s="401" t="str">
        <f>+'VENTAS 2020'!J37</f>
        <v>11°D</v>
      </c>
      <c r="F34" s="401" t="str">
        <f>+'VENTAS 2020'!L37</f>
        <v>ZOE</v>
      </c>
      <c r="G34" s="403">
        <f>+'VENTAS 2020'!M37</f>
        <v>45.09</v>
      </c>
      <c r="H34" s="431">
        <f t="shared" si="0"/>
        <v>23644.756097560978</v>
      </c>
      <c r="I34" s="431">
        <f t="shared" si="1"/>
        <v>524.39024390243901</v>
      </c>
      <c r="J34" s="404">
        <f>+'VENTAS 2020'!O37</f>
        <v>2908305</v>
      </c>
      <c r="K34" s="404">
        <f>+'VENTAS 2020'!P37</f>
        <v>64499.999999999993</v>
      </c>
      <c r="L34" s="50"/>
      <c r="M34"/>
      <c r="O34" s="570"/>
      <c r="P34"/>
    </row>
    <row r="35" spans="1:16" ht="21.95" customHeight="1" x14ac:dyDescent="0.25">
      <c r="A35" s="4"/>
      <c r="B35" s="879"/>
      <c r="C35" s="401" t="str">
        <f>+'VENTAS 2020'!G38</f>
        <v>CUDMANI GERMAN</v>
      </c>
      <c r="D35" s="402">
        <f>+'VENTAS 2020'!H38</f>
        <v>43985</v>
      </c>
      <c r="E35" s="401" t="str">
        <f>+'VENTAS 2020'!J38</f>
        <v>12°D</v>
      </c>
      <c r="F35" s="401" t="str">
        <f>+'VENTAS 2020'!L38</f>
        <v>ZOE</v>
      </c>
      <c r="G35" s="403">
        <f>+'VENTAS 2020'!M38</f>
        <v>45.09</v>
      </c>
      <c r="H35" s="431">
        <f t="shared" si="0"/>
        <v>23644.756097560978</v>
      </c>
      <c r="I35" s="431">
        <f t="shared" si="1"/>
        <v>524.39024390243901</v>
      </c>
      <c r="J35" s="404">
        <f>+'VENTAS 2020'!O38</f>
        <v>2908305</v>
      </c>
      <c r="K35" s="404">
        <f>+'VENTAS 2020'!P38</f>
        <v>64499.999999999993</v>
      </c>
      <c r="L35" s="50"/>
      <c r="M35"/>
      <c r="O35" s="570"/>
      <c r="P35"/>
    </row>
    <row r="36" spans="1:16" ht="21.95" customHeight="1" x14ac:dyDescent="0.25">
      <c r="A36" s="4"/>
      <c r="B36" s="879"/>
      <c r="C36" s="401" t="str">
        <f>+'VENTAS 2020'!G39</f>
        <v>CUDMANI GERMAN</v>
      </c>
      <c r="D36" s="402">
        <f>+'VENTAS 2020'!H39</f>
        <v>43985</v>
      </c>
      <c r="E36" s="401" t="str">
        <f>+'VENTAS 2020'!J39</f>
        <v>13°D</v>
      </c>
      <c r="F36" s="401" t="str">
        <f>+'VENTAS 2020'!L39</f>
        <v>ZOE</v>
      </c>
      <c r="G36" s="403">
        <f>+'VENTAS 2020'!M39</f>
        <v>45.09</v>
      </c>
      <c r="H36" s="431">
        <f t="shared" si="0"/>
        <v>23644.756097560978</v>
      </c>
      <c r="I36" s="431">
        <f t="shared" si="1"/>
        <v>524.39024390243901</v>
      </c>
      <c r="J36" s="404">
        <f>+'VENTAS 2020'!O39</f>
        <v>2908305</v>
      </c>
      <c r="K36" s="404">
        <f>+'VENTAS 2020'!P39</f>
        <v>64499.999999999993</v>
      </c>
      <c r="L36" s="50"/>
      <c r="M36"/>
      <c r="O36" s="570"/>
      <c r="P36"/>
    </row>
    <row r="37" spans="1:16" ht="21.95" customHeight="1" x14ac:dyDescent="0.25">
      <c r="A37" s="4"/>
      <c r="B37" s="879"/>
      <c r="C37" s="401" t="str">
        <f>+'VENTAS 2020'!G40</f>
        <v xml:space="preserve">HURTADO VALERIA </v>
      </c>
      <c r="D37" s="402">
        <f>+'VENTAS 2020'!H40</f>
        <v>43985</v>
      </c>
      <c r="E37" s="401" t="str">
        <f>+'VENTAS 2020'!J40</f>
        <v>13ºE</v>
      </c>
      <c r="F37" s="401" t="str">
        <f>+'VENTAS 2020'!L40</f>
        <v>ZOE</v>
      </c>
      <c r="G37" s="403">
        <f>+'VENTAS 2020'!M40</f>
        <v>39.24</v>
      </c>
      <c r="H37" s="431">
        <f t="shared" si="0"/>
        <v>21800</v>
      </c>
      <c r="I37" s="431">
        <f t="shared" si="1"/>
        <v>555.55555555555554</v>
      </c>
      <c r="J37" s="404">
        <f>+'VENTAS 2020'!O40</f>
        <v>2681400</v>
      </c>
      <c r="K37" s="404">
        <f>+'VENTAS 2020'!P40</f>
        <v>68333.333333333328</v>
      </c>
      <c r="M37"/>
      <c r="O37" s="1"/>
      <c r="P37"/>
    </row>
    <row r="38" spans="1:16" ht="21.95" customHeight="1" x14ac:dyDescent="0.25">
      <c r="A38" s="4"/>
      <c r="B38" s="879"/>
      <c r="C38" s="401" t="str">
        <f>+'VENTAS 2020'!G41</f>
        <v>ROJANO</v>
      </c>
      <c r="D38" s="402">
        <f>+'VENTAS 2020'!H41</f>
        <v>43986</v>
      </c>
      <c r="E38" s="401" t="str">
        <f>+'VENTAS 2020'!J41</f>
        <v>8ºD</v>
      </c>
      <c r="F38" s="401" t="str">
        <f>+'VENTAS 2020'!L41</f>
        <v>ZOE</v>
      </c>
      <c r="G38" s="403">
        <f>+'VENTAS 2020'!M41</f>
        <v>45.09</v>
      </c>
      <c r="H38" s="431">
        <f t="shared" si="0"/>
        <v>27016.853658536587</v>
      </c>
      <c r="I38" s="431">
        <f t="shared" si="1"/>
        <v>599.17617339846049</v>
      </c>
      <c r="J38" s="404">
        <f>+'VENTAS 2020'!O41</f>
        <v>3323073</v>
      </c>
      <c r="K38" s="404">
        <f>+'VENTAS 2020'!P41</f>
        <v>73698.669328010641</v>
      </c>
      <c r="L38" s="50"/>
      <c r="M38" s="218"/>
      <c r="N38" s="218"/>
      <c r="O38" s="570"/>
      <c r="P38"/>
    </row>
    <row r="39" spans="1:16" ht="21.95" customHeight="1" x14ac:dyDescent="0.25">
      <c r="A39" s="4"/>
      <c r="B39" s="879"/>
      <c r="C39" s="401" t="str">
        <f>+'VENTAS 2020'!G42</f>
        <v>ROJANO</v>
      </c>
      <c r="D39" s="402">
        <f>+'VENTAS 2020'!H42</f>
        <v>43986</v>
      </c>
      <c r="E39" s="401" t="str">
        <f>+'VENTAS 2020'!J42</f>
        <v>COCH 11</v>
      </c>
      <c r="F39" s="401" t="str">
        <f>+'VENTAS 2020'!L42</f>
        <v>ZOE</v>
      </c>
      <c r="G39" s="403">
        <f>+'VENTAS 2020'!M42</f>
        <v>19.43</v>
      </c>
      <c r="H39" s="431">
        <f t="shared" si="0"/>
        <v>0</v>
      </c>
      <c r="I39" s="431">
        <v>0</v>
      </c>
      <c r="J39" s="404">
        <f>+'VENTAS 2020'!O42</f>
        <v>1062163</v>
      </c>
      <c r="K39" s="404">
        <f>+'VENTAS 2020'!P42</f>
        <v>54666.134843026251</v>
      </c>
      <c r="M39"/>
      <c r="O39" s="1"/>
      <c r="P39"/>
    </row>
    <row r="40" spans="1:16" ht="21.95" customHeight="1" x14ac:dyDescent="0.25">
      <c r="A40" s="4"/>
      <c r="B40" s="879"/>
      <c r="C40" s="401" t="str">
        <f>+'VENTAS 2020'!G43</f>
        <v xml:space="preserve">CÁRDENAS MARTA </v>
      </c>
      <c r="D40" s="402">
        <f>+'VENTAS 2020'!H43</f>
        <v>43987</v>
      </c>
      <c r="E40" s="401" t="str">
        <f>+'VENTAS 2020'!J43</f>
        <v>7ºD</v>
      </c>
      <c r="F40" s="401" t="str">
        <f>+'VENTAS 2020'!L43</f>
        <v>ZOE</v>
      </c>
      <c r="G40" s="403">
        <f>+'VENTAS 2020'!M43</f>
        <v>45.09</v>
      </c>
      <c r="H40" s="431">
        <f t="shared" si="0"/>
        <v>25149.800796812749</v>
      </c>
      <c r="I40" s="431">
        <f>+K40/125.5</f>
        <v>557.76892430278883</v>
      </c>
      <c r="J40" s="404">
        <f>+'VENTAS 2020'!O43</f>
        <v>3156300</v>
      </c>
      <c r="K40" s="404">
        <f>+'VENTAS 2020'!P43</f>
        <v>70000</v>
      </c>
      <c r="M40"/>
      <c r="O40" s="1"/>
      <c r="P40"/>
    </row>
    <row r="41" spans="1:16" ht="21.95" customHeight="1" x14ac:dyDescent="0.25">
      <c r="A41" s="4"/>
      <c r="B41" s="879"/>
      <c r="C41" s="401" t="str">
        <f>+'VENTAS 2020'!G44</f>
        <v xml:space="preserve">MARTINEZ HYNES </v>
      </c>
      <c r="D41" s="402">
        <f>+'VENTAS 2020'!H44</f>
        <v>43994</v>
      </c>
      <c r="E41" s="401" t="str">
        <f>+'VENTAS 2020'!J44</f>
        <v>11°D</v>
      </c>
      <c r="F41" s="401" t="str">
        <f>+'VENTAS 2020'!L44</f>
        <v>RED</v>
      </c>
      <c r="G41" s="403">
        <f>+'VENTAS 2020'!M44</f>
        <v>64.680000000000007</v>
      </c>
      <c r="H41" s="431">
        <f t="shared" si="0"/>
        <v>39721.280632411064</v>
      </c>
      <c r="I41" s="431">
        <f>+K41/126.5</f>
        <v>614.11998504036887</v>
      </c>
      <c r="J41" s="404">
        <f>+'VENTAS 2020'!O44</f>
        <v>5024742</v>
      </c>
      <c r="K41" s="404">
        <f>+'VENTAS 2020'!P44</f>
        <v>77686.178107606669</v>
      </c>
      <c r="M41"/>
      <c r="O41" s="1"/>
      <c r="P41"/>
    </row>
    <row r="42" spans="1:16" ht="21.95" customHeight="1" thickBot="1" x14ac:dyDescent="0.3">
      <c r="A42" s="4"/>
      <c r="B42" s="879"/>
      <c r="C42" s="401" t="str">
        <f>+'VENTAS 2020'!G45</f>
        <v>METTOLA AGOSTINA</v>
      </c>
      <c r="D42" s="402">
        <f>+'VENTAS 2020'!H45</f>
        <v>44001</v>
      </c>
      <c r="E42" s="401" t="str">
        <f>+'VENTAS 2020'!J45</f>
        <v>7°C</v>
      </c>
      <c r="F42" s="401" t="str">
        <f>+'VENTAS 2020'!L45</f>
        <v>ZOE</v>
      </c>
      <c r="G42" s="403">
        <f>+'VENTAS 2020'!M45</f>
        <v>78.52</v>
      </c>
      <c r="H42" s="431">
        <f t="shared" si="0"/>
        <v>44731.890624999993</v>
      </c>
      <c r="I42" s="431">
        <f>+K42/128</f>
        <v>569.68785818899642</v>
      </c>
      <c r="J42" s="404">
        <f>+'VENTAS 2020'!O45</f>
        <v>5725682</v>
      </c>
      <c r="K42" s="404">
        <f>+'VENTAS 2020'!P45</f>
        <v>72920.045848191541</v>
      </c>
      <c r="L42" s="146" t="s">
        <v>24</v>
      </c>
      <c r="M42" s="51">
        <f>SUM(J31:J42)</f>
        <v>38999046</v>
      </c>
      <c r="N42" s="149">
        <v>6360</v>
      </c>
      <c r="O42" s="571">
        <f>+M42/N42</f>
        <v>6131.9254716981131</v>
      </c>
      <c r="P42"/>
    </row>
    <row r="43" spans="1:16" ht="21.95" customHeight="1" x14ac:dyDescent="0.25">
      <c r="A43" s="4"/>
      <c r="B43" s="911" t="s">
        <v>29</v>
      </c>
      <c r="C43" s="394" t="str">
        <f>+'VENTAS 2020'!G46</f>
        <v>METTOLA ALVARO</v>
      </c>
      <c r="D43" s="395">
        <f>+'VENTAS 2020'!H46</f>
        <v>44013</v>
      </c>
      <c r="E43" s="394" t="str">
        <f>+'VENTAS 2020'!J46</f>
        <v>7ºH</v>
      </c>
      <c r="F43" s="394" t="str">
        <f>+'VENTAS 2020'!L46</f>
        <v>ZOE</v>
      </c>
      <c r="G43" s="397">
        <f>+'VENTAS 2020'!M46</f>
        <v>46.93</v>
      </c>
      <c r="H43" s="430">
        <f t="shared" si="0"/>
        <v>27538.484375</v>
      </c>
      <c r="I43" s="430">
        <f>+K43/128</f>
        <v>586.79915565736201</v>
      </c>
      <c r="J43" s="398">
        <f>+'VENTAS 2020'!O46</f>
        <v>3524926</v>
      </c>
      <c r="K43" s="398">
        <f>+'VENTAS 2020'!P46</f>
        <v>75110.291924142337</v>
      </c>
      <c r="M43"/>
      <c r="O43" s="1"/>
      <c r="P43"/>
    </row>
    <row r="44" spans="1:16" ht="21.95" customHeight="1" x14ac:dyDescent="0.25">
      <c r="A44" s="4"/>
      <c r="B44" s="912"/>
      <c r="C44" s="394" t="str">
        <f>+'VENTAS 2020'!G47</f>
        <v>LEIVA NESTOR</v>
      </c>
      <c r="D44" s="395">
        <f>+'VENTAS 2020'!H47</f>
        <v>44014</v>
      </c>
      <c r="E44" s="394" t="str">
        <f>+'VENTAS 2020'!J47</f>
        <v>8ºH</v>
      </c>
      <c r="F44" s="394" t="str">
        <f>+'VENTAS 2020'!L47</f>
        <v>ZOE</v>
      </c>
      <c r="G44" s="397">
        <f>+'VENTAS 2020'!M47</f>
        <v>46.93</v>
      </c>
      <c r="H44" s="430">
        <f t="shared" si="0"/>
        <v>27766</v>
      </c>
      <c r="I44" s="430">
        <f>+K44/124</f>
        <v>591.64713402940549</v>
      </c>
      <c r="J44" s="398">
        <f>+'VENTAS 2020'!O47</f>
        <v>3442984</v>
      </c>
      <c r="K44" s="398">
        <f>+'VENTAS 2020'!P47</f>
        <v>73364.244619646284</v>
      </c>
      <c r="M44"/>
      <c r="O44" s="1"/>
      <c r="P44"/>
    </row>
    <row r="45" spans="1:16" ht="21.95" customHeight="1" x14ac:dyDescent="0.25">
      <c r="A45" s="4"/>
      <c r="B45" s="912"/>
      <c r="C45" s="394" t="str">
        <f>+'VENTAS 2020'!G48</f>
        <v>NASCA LEONELA</v>
      </c>
      <c r="D45" s="395">
        <f>+'VENTAS 2020'!H48</f>
        <v>44029</v>
      </c>
      <c r="E45" s="394" t="str">
        <f>+'VENTAS 2020'!J48</f>
        <v>1ºF</v>
      </c>
      <c r="F45" s="394" t="str">
        <f>+'VENTAS 2020'!L48</f>
        <v>ZOE</v>
      </c>
      <c r="G45" s="397">
        <f>+'VENTAS 2020'!M48</f>
        <v>47.2</v>
      </c>
      <c r="H45" s="430">
        <f t="shared" si="0"/>
        <v>31168.435483870966</v>
      </c>
      <c r="I45" s="430">
        <f>+K45/124</f>
        <v>660.34820940404586</v>
      </c>
      <c r="J45" s="398">
        <f>+'VENTAS 2020'!O48</f>
        <v>3864886</v>
      </c>
      <c r="K45" s="398">
        <f>+'VENTAS 2020'!P48</f>
        <v>81883.177966101692</v>
      </c>
      <c r="L45" s="50"/>
      <c r="M45" s="218"/>
      <c r="N45" s="218"/>
      <c r="O45" s="570"/>
      <c r="P45"/>
    </row>
    <row r="46" spans="1:16" ht="21.95" customHeight="1" x14ac:dyDescent="0.25">
      <c r="A46" s="4"/>
      <c r="B46" s="912"/>
      <c r="C46" s="394" t="str">
        <f>+'VENTAS 2020'!G49</f>
        <v>MOLINA GABRIEL</v>
      </c>
      <c r="D46" s="395">
        <f>+'VENTAS 2020'!H49</f>
        <v>44032</v>
      </c>
      <c r="E46" s="394" t="str">
        <f>+'VENTAS 2020'!J49</f>
        <v>12ºF</v>
      </c>
      <c r="F46" s="394" t="str">
        <f>+'VENTAS 2020'!L49</f>
        <v>ZOE</v>
      </c>
      <c r="G46" s="397">
        <f>+'VENTAS 2020'!M49</f>
        <v>47.2</v>
      </c>
      <c r="H46" s="430">
        <f t="shared" si="0"/>
        <v>33971.165354330711</v>
      </c>
      <c r="I46" s="430">
        <f>+K46/127</f>
        <v>719.72807954090479</v>
      </c>
      <c r="J46" s="398">
        <f>+'VENTAS 2020'!O49</f>
        <v>4314338</v>
      </c>
      <c r="K46" s="398">
        <f>+'VENTAS 2020'!P49</f>
        <v>91405.46610169491</v>
      </c>
      <c r="M46"/>
      <c r="O46" s="1"/>
      <c r="P46"/>
    </row>
    <row r="47" spans="1:16" ht="21.95" customHeight="1" x14ac:dyDescent="0.25">
      <c r="A47" s="4"/>
      <c r="B47" s="912"/>
      <c r="C47" s="394" t="str">
        <f>+'VENTAS 2020'!G50</f>
        <v>CANGEMI, SERGIO</v>
      </c>
      <c r="D47" s="395">
        <f>+'VENTAS 2020'!H50</f>
        <v>44035</v>
      </c>
      <c r="E47" s="394" t="str">
        <f>+'VENTAS 2020'!J50</f>
        <v>9ºC</v>
      </c>
      <c r="F47" s="394" t="str">
        <f>+'VENTAS 2020'!L50</f>
        <v>ZOE</v>
      </c>
      <c r="G47" s="397">
        <f>+'VENTAS 2020'!M50</f>
        <v>78.52</v>
      </c>
      <c r="H47" s="430">
        <f t="shared" si="0"/>
        <v>45000</v>
      </c>
      <c r="I47" s="430">
        <f>+K47/128</f>
        <v>573.10239429444732</v>
      </c>
      <c r="J47" s="398">
        <f>+'VENTAS 2020'!O50</f>
        <v>5760000</v>
      </c>
      <c r="K47" s="398">
        <f>+'VENTAS 2020'!P50</f>
        <v>73357.106469689257</v>
      </c>
      <c r="M47"/>
      <c r="O47" s="1"/>
      <c r="P47"/>
    </row>
    <row r="48" spans="1:16" ht="21.95" customHeight="1" thickBot="1" x14ac:dyDescent="0.3">
      <c r="A48" s="4"/>
      <c r="B48" s="913"/>
      <c r="C48" s="394" t="str">
        <f>+'VENTAS 2020'!G51</f>
        <v>OÑANTE, EDUARDO</v>
      </c>
      <c r="D48" s="395">
        <f>+'VENTAS 2020'!H51</f>
        <v>44043</v>
      </c>
      <c r="E48" s="394" t="str">
        <f>+'VENTAS 2020'!J51</f>
        <v>6ºB</v>
      </c>
      <c r="F48" s="394" t="str">
        <f>+'VENTAS 2020'!L51</f>
        <v>RED</v>
      </c>
      <c r="G48" s="397">
        <f>+'VENTAS 2020'!M51</f>
        <v>47.17</v>
      </c>
      <c r="H48" s="430">
        <f t="shared" si="0"/>
        <v>32762.022058823528</v>
      </c>
      <c r="I48" s="430">
        <f>+K48/136</f>
        <v>694.55208943870105</v>
      </c>
      <c r="J48" s="398">
        <f>+'VENTAS 2020'!O51</f>
        <v>4455635</v>
      </c>
      <c r="K48" s="398">
        <f>+'VENTAS 2020'!P51</f>
        <v>94459.084163663341</v>
      </c>
      <c r="L48" s="146" t="s">
        <v>45</v>
      </c>
      <c r="M48" s="51">
        <f>SUM(J43:J48)</f>
        <v>25362769</v>
      </c>
      <c r="N48" s="149">
        <v>6530</v>
      </c>
      <c r="O48" s="571">
        <f>+M48/N48</f>
        <v>3884.0381316998469</v>
      </c>
      <c r="P48"/>
    </row>
    <row r="49" spans="1:16" ht="21.95" customHeight="1" x14ac:dyDescent="0.25">
      <c r="A49" s="4"/>
      <c r="B49" s="914"/>
      <c r="C49" s="401" t="str">
        <f>+'VENTAS 2020'!G52</f>
        <v>SPOSITO, EDUARDO</v>
      </c>
      <c r="D49" s="402">
        <f>+'VENTAS 2020'!H52</f>
        <v>44068</v>
      </c>
      <c r="E49" s="401" t="str">
        <f>+'VENTAS 2020'!J52</f>
        <v>13ºA</v>
      </c>
      <c r="F49" s="401" t="str">
        <f>+'VENTAS 2020'!L52</f>
        <v>RED</v>
      </c>
      <c r="G49" s="403">
        <f>+'VENTAS 2020'!M52</f>
        <v>52.35</v>
      </c>
      <c r="H49" s="431">
        <f t="shared" si="0"/>
        <v>40691.43949044586</v>
      </c>
      <c r="I49" s="431">
        <f>+K49/78.5</f>
        <v>777.29588329409478</v>
      </c>
      <c r="J49" s="404">
        <f>+'VENTAS 2020'!O52</f>
        <v>3194278</v>
      </c>
      <c r="K49" s="404">
        <f>+'VENTAS 2020'!P52</f>
        <v>61017.726838586437</v>
      </c>
      <c r="M49"/>
      <c r="O49" s="1"/>
      <c r="P49"/>
    </row>
    <row r="50" spans="1:16" ht="21.95" customHeight="1" x14ac:dyDescent="0.25">
      <c r="A50" s="4"/>
      <c r="B50" s="914"/>
      <c r="C50" s="401" t="str">
        <f>+'VENTAS 2020'!G53</f>
        <v>GIULIANO, SEBASTIAN</v>
      </c>
      <c r="D50" s="402">
        <f>+'VENTAS 2020'!H53</f>
        <v>44068</v>
      </c>
      <c r="E50" s="401" t="str">
        <f>+'VENTAS 2020'!J53</f>
        <v>12ºA</v>
      </c>
      <c r="F50" s="401" t="str">
        <f>+'VENTAS 2020'!L53</f>
        <v>ZOE</v>
      </c>
      <c r="G50" s="403">
        <f>+'VENTAS 2020'!M53</f>
        <v>75.67</v>
      </c>
      <c r="H50" s="431">
        <f t="shared" si="0"/>
        <v>46076.253731343284</v>
      </c>
      <c r="I50" s="431">
        <f>+K50/134</f>
        <v>608.91044973362341</v>
      </c>
      <c r="J50" s="404">
        <f>+'VENTAS 2020'!O53</f>
        <v>6174218</v>
      </c>
      <c r="K50" s="404">
        <f>+'VENTAS 2020'!P53</f>
        <v>81594.000264305534</v>
      </c>
      <c r="M50"/>
      <c r="O50" s="1"/>
      <c r="P50"/>
    </row>
    <row r="51" spans="1:16" ht="21.95" customHeight="1" x14ac:dyDescent="0.25">
      <c r="A51" s="4"/>
      <c r="B51" s="914"/>
      <c r="C51" s="401" t="str">
        <f>+'VENTAS 2020'!G54</f>
        <v>APESTEY, EDUARDO</v>
      </c>
      <c r="D51" s="402">
        <f>+'VENTAS 2020'!H54</f>
        <v>44071</v>
      </c>
      <c r="E51" s="401" t="str">
        <f>+'VENTAS 2020'!J54</f>
        <v>2ºB</v>
      </c>
      <c r="F51" s="401" t="str">
        <f>+'VENTAS 2020'!L54</f>
        <v>RED</v>
      </c>
      <c r="G51" s="403">
        <f>+'VENTAS 2020'!M54</f>
        <v>47.17</v>
      </c>
      <c r="H51" s="431">
        <f t="shared" si="0"/>
        <v>31966.55072463768</v>
      </c>
      <c r="I51" s="431">
        <f>+K51/138</f>
        <v>677.68816460966036</v>
      </c>
      <c r="J51" s="404">
        <f>+'VENTAS 2020'!O54</f>
        <v>4411384</v>
      </c>
      <c r="K51" s="404">
        <f>+'VENTAS 2020'!P54</f>
        <v>93520.966716133131</v>
      </c>
      <c r="M51"/>
      <c r="O51" s="1"/>
      <c r="P51"/>
    </row>
    <row r="52" spans="1:16" ht="21.95" customHeight="1" thickBot="1" x14ac:dyDescent="0.3">
      <c r="A52" s="4"/>
      <c r="B52" s="913"/>
      <c r="C52" s="401" t="str">
        <f>+'VENTAS 2020'!G55</f>
        <v xml:space="preserve">CARIGNANO RAUL JUAN </v>
      </c>
      <c r="D52" s="402">
        <f>+'VENTAS 2020'!H55</f>
        <v>44071</v>
      </c>
      <c r="E52" s="401" t="str">
        <f>+'VENTAS 2020'!J55</f>
        <v>8ºC</v>
      </c>
      <c r="F52" s="401" t="str">
        <f>+'VENTAS 2020'!L55</f>
        <v>ZOE</v>
      </c>
      <c r="G52" s="403">
        <f>+'VENTAS 2020'!M55</f>
        <v>78.52</v>
      </c>
      <c r="H52" s="431">
        <f t="shared" si="0"/>
        <v>42752.949275362313</v>
      </c>
      <c r="I52" s="431">
        <f>+K52/138</f>
        <v>544.48483539687106</v>
      </c>
      <c r="J52" s="404">
        <f>+'VENTAS 2020'!O55</f>
        <v>5899907</v>
      </c>
      <c r="K52" s="404">
        <f>+'VENTAS 2020'!P55</f>
        <v>75138.907284768211</v>
      </c>
      <c r="L52" s="362" t="s">
        <v>30</v>
      </c>
      <c r="M52" s="48">
        <f>SUM(J49:J52)</f>
        <v>19679787</v>
      </c>
      <c r="N52" s="149">
        <v>6700</v>
      </c>
      <c r="O52" s="571">
        <f>+M52/N52</f>
        <v>2937.2816417910449</v>
      </c>
      <c r="P52"/>
    </row>
    <row r="53" spans="1:16" ht="21.95" customHeight="1" x14ac:dyDescent="0.25">
      <c r="A53" s="4"/>
      <c r="B53" s="879" t="s">
        <v>31</v>
      </c>
      <c r="C53" s="394" t="str">
        <f>+'VENTAS 2020'!G56</f>
        <v>FRANCIS, FACUNDO</v>
      </c>
      <c r="D53" s="395">
        <f>+'VENTAS 2020'!H56</f>
        <v>44083</v>
      </c>
      <c r="E53" s="396" t="str">
        <f>+'VENTAS 2020'!J56</f>
        <v>13ºD</v>
      </c>
      <c r="F53" s="396" t="str">
        <f>+'VENTAS 2020'!L56</f>
        <v>RED</v>
      </c>
      <c r="G53" s="397">
        <f>+'VENTAS 2020'!M56</f>
        <v>64.680000000000007</v>
      </c>
      <c r="H53" s="430">
        <f t="shared" si="0"/>
        <v>46674.3359375</v>
      </c>
      <c r="I53" s="430">
        <f>+K53/128</f>
        <v>721.61929402442786</v>
      </c>
      <c r="J53" s="398">
        <f>+'VENTAS 2020'!O56</f>
        <v>5974315</v>
      </c>
      <c r="K53" s="398">
        <f>+'VENTAS 2020'!P56</f>
        <v>92367.269635126766</v>
      </c>
      <c r="M53"/>
      <c r="O53" s="1"/>
      <c r="P53"/>
    </row>
    <row r="54" spans="1:16" ht="21.95" customHeight="1" x14ac:dyDescent="0.25">
      <c r="A54" s="4"/>
      <c r="B54" s="879"/>
      <c r="C54" s="394" t="str">
        <f>+'VENTAS 2020'!G57</f>
        <v>CUDMANI GERMAN</v>
      </c>
      <c r="D54" s="395">
        <f>+'VENTAS 2020'!H57</f>
        <v>44095</v>
      </c>
      <c r="E54" s="396" t="str">
        <f>+'VENTAS 2020'!J57</f>
        <v xml:space="preserve"> 1°-C</v>
      </c>
      <c r="F54" s="396" t="str">
        <f>+'VENTAS 2020'!L57</f>
        <v>ZOE</v>
      </c>
      <c r="G54" s="397">
        <f>+'VENTAS 2020'!M57</f>
        <v>78.52</v>
      </c>
      <c r="H54" s="430">
        <f t="shared" si="0"/>
        <v>34907.776054376074</v>
      </c>
      <c r="I54" s="430">
        <f>+K54/136</f>
        <v>444.57177858349559</v>
      </c>
      <c r="J54" s="398">
        <f>+'VENTAS 2020'!O57</f>
        <v>4747457.5433951458</v>
      </c>
      <c r="K54" s="398">
        <f>+'VENTAS 2020'!P57</f>
        <v>60461.761887355402</v>
      </c>
      <c r="M54"/>
      <c r="O54" s="1"/>
      <c r="P54"/>
    </row>
    <row r="55" spans="1:16" ht="21.95" customHeight="1" x14ac:dyDescent="0.25">
      <c r="A55" s="4"/>
      <c r="B55" s="879"/>
      <c r="C55" s="394" t="str">
        <f>+'VENTAS 2020'!G58</f>
        <v>CUDMANI GERMAN</v>
      </c>
      <c r="D55" s="395">
        <f>+'VENTAS 2020'!H58</f>
        <v>44095</v>
      </c>
      <c r="E55" s="396" t="str">
        <f>+'VENTAS 2020'!J58</f>
        <v xml:space="preserve"> 2°- C</v>
      </c>
      <c r="F55" s="396" t="str">
        <f>+'VENTAS 2020'!L58</f>
        <v>ZOE</v>
      </c>
      <c r="G55" s="397">
        <f>+'VENTAS 2020'!M58</f>
        <v>78.52</v>
      </c>
      <c r="H55" s="430">
        <f t="shared" si="0"/>
        <v>34907.776054376074</v>
      </c>
      <c r="I55" s="430">
        <f t="shared" ref="I55:I66" si="2">+K55/136</f>
        <v>444.57177858349559</v>
      </c>
      <c r="J55" s="398">
        <f>+'VENTAS 2020'!O58</f>
        <v>4747457.5433951458</v>
      </c>
      <c r="K55" s="398">
        <f>+'VENTAS 2020'!P58</f>
        <v>60461.761887355402</v>
      </c>
      <c r="M55"/>
      <c r="O55" s="1"/>
      <c r="P55"/>
    </row>
    <row r="56" spans="1:16" ht="21.95" customHeight="1" x14ac:dyDescent="0.25">
      <c r="A56" s="4"/>
      <c r="B56" s="879"/>
      <c r="C56" s="394" t="str">
        <f>+'VENTAS 2020'!G59</f>
        <v>CUDMANI GERMAN</v>
      </c>
      <c r="D56" s="395">
        <f>+'VENTAS 2020'!H59</f>
        <v>44095</v>
      </c>
      <c r="E56" s="396" t="str">
        <f>+'VENTAS 2020'!J59</f>
        <v xml:space="preserve"> 10°- C</v>
      </c>
      <c r="F56" s="396" t="str">
        <f>+'VENTAS 2020'!L59</f>
        <v>ZOE</v>
      </c>
      <c r="G56" s="397">
        <f>+'VENTAS 2020'!M59</f>
        <v>78.52</v>
      </c>
      <c r="H56" s="430">
        <f t="shared" si="0"/>
        <v>34907.776054376074</v>
      </c>
      <c r="I56" s="430">
        <f t="shared" si="2"/>
        <v>444.57177858349559</v>
      </c>
      <c r="J56" s="398">
        <f>+'VENTAS 2020'!O59</f>
        <v>4747457.5433951458</v>
      </c>
      <c r="K56" s="398">
        <f>+'VENTAS 2020'!P59</f>
        <v>60461.761887355402</v>
      </c>
      <c r="M56"/>
      <c r="O56" s="1"/>
      <c r="P56"/>
    </row>
    <row r="57" spans="1:16" ht="21.95" customHeight="1" x14ac:dyDescent="0.25">
      <c r="A57" s="4"/>
      <c r="B57" s="879"/>
      <c r="C57" s="394" t="str">
        <f>+'VENTAS 2020'!G60</f>
        <v>CUDMANI GERMAN</v>
      </c>
      <c r="D57" s="395">
        <f>+'VENTAS 2020'!H60</f>
        <v>44095</v>
      </c>
      <c r="E57" s="396" t="str">
        <f>+'VENTAS 2020'!J60</f>
        <v xml:space="preserve"> 11°- C</v>
      </c>
      <c r="F57" s="396" t="str">
        <f>+'VENTAS 2020'!L60</f>
        <v>ZOE</v>
      </c>
      <c r="G57" s="397">
        <f>+'VENTAS 2020'!M60</f>
        <v>78.52</v>
      </c>
      <c r="H57" s="430">
        <f t="shared" si="0"/>
        <v>34907.776054376074</v>
      </c>
      <c r="I57" s="430">
        <f t="shared" si="2"/>
        <v>444.57177858349559</v>
      </c>
      <c r="J57" s="398">
        <f>+'VENTAS 2020'!O60</f>
        <v>4747457.5433951458</v>
      </c>
      <c r="K57" s="398">
        <f>+'VENTAS 2020'!P60</f>
        <v>60461.761887355402</v>
      </c>
      <c r="M57"/>
      <c r="O57" s="1"/>
      <c r="P57"/>
    </row>
    <row r="58" spans="1:16" ht="21.95" customHeight="1" x14ac:dyDescent="0.25">
      <c r="A58" s="4"/>
      <c r="B58" s="879"/>
      <c r="C58" s="394" t="str">
        <f>+'VENTAS 2020'!G61</f>
        <v>CUDMANI GERMAN</v>
      </c>
      <c r="D58" s="395">
        <f>+'VENTAS 2020'!H61</f>
        <v>44095</v>
      </c>
      <c r="E58" s="396" t="str">
        <f>+'VENTAS 2020'!J61</f>
        <v xml:space="preserve"> 12°- C</v>
      </c>
      <c r="F58" s="396" t="str">
        <f>+'VENTAS 2020'!L61</f>
        <v>ZOE</v>
      </c>
      <c r="G58" s="397">
        <f>+'VENTAS 2020'!M61</f>
        <v>78.52</v>
      </c>
      <c r="H58" s="430">
        <f t="shared" si="0"/>
        <v>34907.776054376074</v>
      </c>
      <c r="I58" s="430">
        <f t="shared" si="2"/>
        <v>444.57177858349559</v>
      </c>
      <c r="J58" s="398">
        <f>+'VENTAS 2020'!O61</f>
        <v>4747457.5433951458</v>
      </c>
      <c r="K58" s="398">
        <f>+'VENTAS 2020'!P61</f>
        <v>60461.761887355402</v>
      </c>
      <c r="M58"/>
      <c r="O58" s="1"/>
      <c r="P58"/>
    </row>
    <row r="59" spans="1:16" ht="21.95" customHeight="1" x14ac:dyDescent="0.25">
      <c r="A59" s="4"/>
      <c r="B59" s="879"/>
      <c r="C59" s="394" t="str">
        <f>+'VENTAS 2020'!G62</f>
        <v>CUDMANI GERMAN</v>
      </c>
      <c r="D59" s="395">
        <f>+'VENTAS 2020'!H62</f>
        <v>44095</v>
      </c>
      <c r="E59" s="396" t="str">
        <f>+'VENTAS 2020'!J62</f>
        <v xml:space="preserve"> 13°- C</v>
      </c>
      <c r="F59" s="396" t="str">
        <f>+'VENTAS 2020'!L62</f>
        <v>ZOE</v>
      </c>
      <c r="G59" s="397">
        <f>+'VENTAS 2020'!M62</f>
        <v>78.52</v>
      </c>
      <c r="H59" s="430">
        <f t="shared" si="0"/>
        <v>34907.776054376074</v>
      </c>
      <c r="I59" s="430">
        <f t="shared" si="2"/>
        <v>444.57177858349559</v>
      </c>
      <c r="J59" s="398">
        <f>+'VENTAS 2020'!O62</f>
        <v>4747457.5433951458</v>
      </c>
      <c r="K59" s="398">
        <f>+'VENTAS 2020'!P62</f>
        <v>60461.761887355402</v>
      </c>
      <c r="M59"/>
      <c r="O59" s="1"/>
      <c r="P59"/>
    </row>
    <row r="60" spans="1:16" ht="21.95" customHeight="1" x14ac:dyDescent="0.25">
      <c r="A60" s="4"/>
      <c r="B60" s="879"/>
      <c r="C60" s="394" t="str">
        <f>+'VENTAS 2020'!G63</f>
        <v>CUDMANI GERMAN</v>
      </c>
      <c r="D60" s="395">
        <f>+'VENTAS 2020'!H63</f>
        <v>44095</v>
      </c>
      <c r="E60" s="396" t="str">
        <f>+'VENTAS 2020'!J63</f>
        <v xml:space="preserve"> 14°- A</v>
      </c>
      <c r="F60" s="396" t="str">
        <f>+'VENTAS 2020'!L63</f>
        <v>ZOE</v>
      </c>
      <c r="G60" s="397">
        <f>+'VENTAS 2020'!M63</f>
        <v>75.67</v>
      </c>
      <c r="H60" s="430">
        <f t="shared" si="0"/>
        <v>33640.746485413103</v>
      </c>
      <c r="I60" s="430">
        <f t="shared" si="2"/>
        <v>444.57177858349547</v>
      </c>
      <c r="J60" s="398">
        <f>+'VENTAS 2020'!O63</f>
        <v>4575141.5220161825</v>
      </c>
      <c r="K60" s="398">
        <f>+'VENTAS 2020'!P63</f>
        <v>60461.761887355387</v>
      </c>
      <c r="M60"/>
      <c r="O60" s="1"/>
      <c r="P60"/>
    </row>
    <row r="61" spans="1:16" ht="21.95" customHeight="1" x14ac:dyDescent="0.25">
      <c r="A61" s="4"/>
      <c r="B61" s="879"/>
      <c r="C61" s="394" t="str">
        <f>+'VENTAS 2020'!G64</f>
        <v>CUDMANI GERMAN</v>
      </c>
      <c r="D61" s="395">
        <f>+'VENTAS 2020'!H64</f>
        <v>44095</v>
      </c>
      <c r="E61" s="396" t="str">
        <f>+'VENTAS 2020'!J64</f>
        <v xml:space="preserve"> 14°- C</v>
      </c>
      <c r="F61" s="396" t="str">
        <f>+'VENTAS 2020'!L64</f>
        <v>ZOE</v>
      </c>
      <c r="G61" s="397">
        <f>+'VENTAS 2020'!M64</f>
        <v>78.52</v>
      </c>
      <c r="H61" s="430">
        <f t="shared" si="0"/>
        <v>34907.776054376074</v>
      </c>
      <c r="I61" s="430">
        <f t="shared" si="2"/>
        <v>444.57177858349559</v>
      </c>
      <c r="J61" s="398">
        <f>+'VENTAS 2020'!O64</f>
        <v>4747457.5433951458</v>
      </c>
      <c r="K61" s="398">
        <f>+'VENTAS 2020'!P64</f>
        <v>60461.761887355402</v>
      </c>
      <c r="M61"/>
      <c r="O61" s="1"/>
      <c r="P61"/>
    </row>
    <row r="62" spans="1:16" ht="21.95" customHeight="1" x14ac:dyDescent="0.25">
      <c r="A62" s="4"/>
      <c r="B62" s="879"/>
      <c r="C62" s="394" t="str">
        <f>+'VENTAS 2020'!G65</f>
        <v>CUDMANI GERMAN</v>
      </c>
      <c r="D62" s="395">
        <f>+'VENTAS 2020'!H65</f>
        <v>44095</v>
      </c>
      <c r="E62" s="396" t="str">
        <f>+'VENTAS 2020'!J65</f>
        <v xml:space="preserve"> 15°- C</v>
      </c>
      <c r="F62" s="396" t="str">
        <f>+'VENTAS 2020'!L65</f>
        <v>ZOE</v>
      </c>
      <c r="G62" s="397">
        <f>+'VENTAS 2020'!M65</f>
        <v>78.52</v>
      </c>
      <c r="H62" s="430">
        <f t="shared" si="0"/>
        <v>34907.776054376074</v>
      </c>
      <c r="I62" s="430">
        <f t="shared" si="2"/>
        <v>444.57177858349559</v>
      </c>
      <c r="J62" s="398">
        <f>+'VENTAS 2020'!O65</f>
        <v>4747457.5433951458</v>
      </c>
      <c r="K62" s="398">
        <f>+'VENTAS 2020'!P65</f>
        <v>60461.761887355402</v>
      </c>
      <c r="M62"/>
      <c r="O62" s="1"/>
      <c r="P62"/>
    </row>
    <row r="63" spans="1:16" ht="21.95" customHeight="1" x14ac:dyDescent="0.25">
      <c r="A63" s="4"/>
      <c r="B63" s="879"/>
      <c r="C63" s="394" t="str">
        <f>+'VENTAS 2020'!G66</f>
        <v>CUDMANI GERMAN</v>
      </c>
      <c r="D63" s="395">
        <f>+'VENTAS 2020'!H66</f>
        <v>44095</v>
      </c>
      <c r="E63" s="396" t="str">
        <f>+'VENTAS 2020'!J66</f>
        <v xml:space="preserve"> 16°- A</v>
      </c>
      <c r="F63" s="396" t="str">
        <f>+'VENTAS 2020'!L66</f>
        <v>ZOE</v>
      </c>
      <c r="G63" s="397">
        <f>+'VENTAS 2020'!M66</f>
        <v>75.67</v>
      </c>
      <c r="H63" s="430">
        <f t="shared" si="0"/>
        <v>33640.746485413103</v>
      </c>
      <c r="I63" s="430">
        <f t="shared" si="2"/>
        <v>444.57177858349547</v>
      </c>
      <c r="J63" s="398">
        <f>+'VENTAS 2020'!O66</f>
        <v>4575141.5220161825</v>
      </c>
      <c r="K63" s="398">
        <f>+'VENTAS 2020'!P66</f>
        <v>60461.761887355387</v>
      </c>
      <c r="M63"/>
      <c r="O63" s="1"/>
      <c r="P63"/>
    </row>
    <row r="64" spans="1:16" ht="21.95" customHeight="1" x14ac:dyDescent="0.25">
      <c r="A64" s="4"/>
      <c r="B64" s="879"/>
      <c r="C64" s="394" t="str">
        <f>+'VENTAS 2020'!G67</f>
        <v>CUDMANI GERMAN</v>
      </c>
      <c r="D64" s="395">
        <f>+'VENTAS 2020'!H67</f>
        <v>44095</v>
      </c>
      <c r="E64" s="396" t="str">
        <f>+'VENTAS 2020'!J67</f>
        <v xml:space="preserve"> 16°- C</v>
      </c>
      <c r="F64" s="396" t="str">
        <f>+'VENTAS 2020'!L67</f>
        <v>ZOE</v>
      </c>
      <c r="G64" s="397">
        <f>+'VENTAS 2020'!M67</f>
        <v>78.52</v>
      </c>
      <c r="H64" s="430">
        <f t="shared" si="0"/>
        <v>34907.776054376074</v>
      </c>
      <c r="I64" s="430">
        <f t="shared" si="2"/>
        <v>444.57177858349559</v>
      </c>
      <c r="J64" s="398">
        <f>+'VENTAS 2020'!O67</f>
        <v>4747457.5433951458</v>
      </c>
      <c r="K64" s="398">
        <f>+'VENTAS 2020'!P67</f>
        <v>60461.761887355402</v>
      </c>
      <c r="M64"/>
      <c r="O64" s="1"/>
      <c r="P64"/>
    </row>
    <row r="65" spans="1:16" ht="21.95" customHeight="1" x14ac:dyDescent="0.25">
      <c r="A65" s="4"/>
      <c r="B65" s="879"/>
      <c r="C65" s="394" t="str">
        <f>+'VENTAS 2020'!G68</f>
        <v>CUDMANI GERMAN</v>
      </c>
      <c r="D65" s="395">
        <f>+'VENTAS 2020'!H68</f>
        <v>44095</v>
      </c>
      <c r="E65" s="396" t="str">
        <f>+'VENTAS 2020'!J68</f>
        <v xml:space="preserve"> 17º - A</v>
      </c>
      <c r="F65" s="396" t="str">
        <f>+'VENTAS 2020'!L68</f>
        <v>ZOE</v>
      </c>
      <c r="G65" s="397">
        <f>+'VENTAS 2020'!M68</f>
        <v>75.67</v>
      </c>
      <c r="H65" s="430">
        <f t="shared" si="0"/>
        <v>33640.746485413103</v>
      </c>
      <c r="I65" s="430">
        <f t="shared" si="2"/>
        <v>444.57177858349547</v>
      </c>
      <c r="J65" s="398">
        <f>+'VENTAS 2020'!O68</f>
        <v>4575141.5220161825</v>
      </c>
      <c r="K65" s="398">
        <f>+'VENTAS 2020'!P68</f>
        <v>60461.761887355387</v>
      </c>
      <c r="M65"/>
      <c r="O65" s="1"/>
      <c r="P65"/>
    </row>
    <row r="66" spans="1:16" ht="21.95" customHeight="1" x14ac:dyDescent="0.25">
      <c r="A66" s="4"/>
      <c r="B66" s="879"/>
      <c r="C66" s="394" t="str">
        <f>+'VENTAS 2020'!G69</f>
        <v>CUDMANI GERMAN</v>
      </c>
      <c r="D66" s="395">
        <f>+'VENTAS 2020'!H69</f>
        <v>44095</v>
      </c>
      <c r="E66" s="396" t="str">
        <f>+'VENTAS 2020'!J69</f>
        <v xml:space="preserve"> 17º- C</v>
      </c>
      <c r="F66" s="396" t="str">
        <f>+'VENTAS 2020'!L69</f>
        <v>ZOE</v>
      </c>
      <c r="G66" s="397">
        <f>+'VENTAS 2020'!M69</f>
        <v>78.52</v>
      </c>
      <c r="H66" s="430">
        <f t="shared" ref="H66:H90" si="3">+I66*G66</f>
        <v>34907.776054376074</v>
      </c>
      <c r="I66" s="430">
        <f t="shared" si="2"/>
        <v>444.57177858349559</v>
      </c>
      <c r="J66" s="398">
        <f>+'VENTAS 2020'!O69</f>
        <v>4747457.5433951458</v>
      </c>
      <c r="K66" s="398">
        <f>+'VENTAS 2020'!P69</f>
        <v>60461.761887355402</v>
      </c>
      <c r="M66"/>
      <c r="O66" s="1"/>
      <c r="P66"/>
    </row>
    <row r="67" spans="1:16" ht="21.95" customHeight="1" thickBot="1" x14ac:dyDescent="0.3">
      <c r="A67" s="4"/>
      <c r="B67" s="910"/>
      <c r="C67" s="394" t="str">
        <f>+'VENTAS 2020'!G70</f>
        <v xml:space="preserve">HADDAD, CARLOS </v>
      </c>
      <c r="D67" s="395">
        <f>+'VENTAS 2020'!H70</f>
        <v>44099</v>
      </c>
      <c r="E67" s="396" t="str">
        <f>+'VENTAS 2020'!J70</f>
        <v>15ºH</v>
      </c>
      <c r="F67" s="396" t="str">
        <f>+'VENTAS 2020'!L70</f>
        <v>ZOE</v>
      </c>
      <c r="G67" s="397">
        <f>+'VENTAS 2020'!M70</f>
        <v>46.97</v>
      </c>
      <c r="H67" s="430">
        <f t="shared" si="3"/>
        <v>26480.11724137931</v>
      </c>
      <c r="I67" s="430">
        <f>+K67/145</f>
        <v>563.76660083839283</v>
      </c>
      <c r="J67" s="398">
        <f>+'VENTAS 2020'!O70</f>
        <v>3839617</v>
      </c>
      <c r="K67" s="398">
        <f>+'VENTAS 2020'!P70</f>
        <v>81746.157121566954</v>
      </c>
      <c r="L67" s="146" t="s">
        <v>31</v>
      </c>
      <c r="M67" s="51">
        <f>SUM(J53:J67)</f>
        <v>71013932.000000015</v>
      </c>
      <c r="N67" s="149">
        <v>6870</v>
      </c>
      <c r="O67" s="571">
        <f>+M67/N67</f>
        <v>10336.81688500728</v>
      </c>
      <c r="P67"/>
    </row>
    <row r="68" spans="1:16" s="44" customFormat="1" ht="21.95" customHeight="1" x14ac:dyDescent="0.25">
      <c r="A68" s="41"/>
      <c r="B68" s="873" t="s">
        <v>34</v>
      </c>
      <c r="C68" s="516" t="str">
        <f>+'VENTAS 2020'!G71</f>
        <v>AZARETSKY, ALEJANDRO</v>
      </c>
      <c r="D68" s="402">
        <f>+'VENTAS 2020'!H71</f>
        <v>44159</v>
      </c>
      <c r="E68" s="405" t="str">
        <f>+'VENTAS 2020'!J71</f>
        <v>6°E</v>
      </c>
      <c r="F68" s="405" t="str">
        <f>+'VENTAS 2020'!L71</f>
        <v xml:space="preserve">ISAURA </v>
      </c>
      <c r="G68" s="403">
        <f>+'VENTAS 2020'!M71</f>
        <v>41.35</v>
      </c>
      <c r="H68" s="431">
        <f t="shared" si="3"/>
        <v>20349.999999999996</v>
      </c>
      <c r="I68" s="431">
        <f>+K68/160</f>
        <v>492.14026602176534</v>
      </c>
      <c r="J68" s="404">
        <f>+'VENTAS 2020'!O71</f>
        <v>3256000</v>
      </c>
      <c r="K68" s="404">
        <f>+'VENTAS 2020'!P71</f>
        <v>78742.442563482458</v>
      </c>
      <c r="O68" s="575"/>
    </row>
    <row r="69" spans="1:16" s="44" customFormat="1" ht="21.95" customHeight="1" x14ac:dyDescent="0.25">
      <c r="A69" s="41"/>
      <c r="B69" s="874"/>
      <c r="C69" s="516" t="str">
        <f>+'VENTAS 2020'!G72</f>
        <v>AZARETSKY, ALEJANDRO</v>
      </c>
      <c r="D69" s="402">
        <f>+'VENTAS 2020'!H72</f>
        <v>44159</v>
      </c>
      <c r="E69" s="405" t="str">
        <f>+'VENTAS 2020'!J72</f>
        <v>12°E</v>
      </c>
      <c r="F69" s="405" t="str">
        <f>+'VENTAS 2020'!L72</f>
        <v xml:space="preserve">ISAURA </v>
      </c>
      <c r="G69" s="403">
        <f>+'VENTAS 2020'!M72</f>
        <v>41.35</v>
      </c>
      <c r="H69" s="431">
        <f t="shared" si="3"/>
        <v>20349.999999999996</v>
      </c>
      <c r="I69" s="431">
        <f>+K69/160</f>
        <v>492.14026602176534</v>
      </c>
      <c r="J69" s="404">
        <f>+'VENTAS 2020'!O72</f>
        <v>3256000</v>
      </c>
      <c r="K69" s="404">
        <f>+'VENTAS 2020'!P72</f>
        <v>78742.442563482458</v>
      </c>
      <c r="O69" s="575"/>
    </row>
    <row r="70" spans="1:16" s="44" customFormat="1" ht="21.95" customHeight="1" x14ac:dyDescent="0.25">
      <c r="A70" s="41"/>
      <c r="B70" s="874"/>
      <c r="C70" s="516" t="str">
        <f>+'VENTAS 2020'!G73</f>
        <v>CUDMANI GERMAN</v>
      </c>
      <c r="D70" s="402">
        <f>+'VENTAS 2020'!H73</f>
        <v>44162</v>
      </c>
      <c r="E70" s="405" t="str">
        <f>+'VENTAS 2020'!J73</f>
        <v>11ºA</v>
      </c>
      <c r="F70" s="405" t="str">
        <f>+'VENTAS 2020'!L73</f>
        <v>DUO</v>
      </c>
      <c r="G70" s="403">
        <f>+'VENTAS 2020'!M73</f>
        <v>115.17619000980855</v>
      </c>
      <c r="H70" s="431">
        <f t="shared" si="3"/>
        <v>46070.476003923417</v>
      </c>
      <c r="I70" s="431">
        <f>+K70/160</f>
        <v>400</v>
      </c>
      <c r="J70" s="404">
        <f>+'VENTAS 2020'!O73</f>
        <v>7371276.160627747</v>
      </c>
      <c r="K70" s="404">
        <f>+'VENTAS 2020'!P73</f>
        <v>64000</v>
      </c>
      <c r="O70" s="575"/>
    </row>
    <row r="71" spans="1:16" s="44" customFormat="1" ht="21.95" customHeight="1" x14ac:dyDescent="0.25">
      <c r="A71" s="41"/>
      <c r="B71" s="874"/>
      <c r="C71" s="516" t="str">
        <f>+'VENTAS 2020'!G74</f>
        <v>CUDMANI GERMAN</v>
      </c>
      <c r="D71" s="402">
        <f>+'VENTAS 2020'!H74</f>
        <v>44162</v>
      </c>
      <c r="E71" s="405" t="str">
        <f>+'VENTAS 2020'!J74</f>
        <v>11ºB</v>
      </c>
      <c r="F71" s="405" t="str">
        <f>+'VENTAS 2020'!L74</f>
        <v>DUO</v>
      </c>
      <c r="G71" s="403">
        <f>+'VENTAS 2020'!M74</f>
        <v>63.372481107890145</v>
      </c>
      <c r="H71" s="431">
        <f t="shared" si="3"/>
        <v>25348.992443156054</v>
      </c>
      <c r="I71" s="431">
        <f t="shared" ref="I71:I90" si="4">+K71/160</f>
        <v>399.99999999999994</v>
      </c>
      <c r="J71" s="404">
        <f>+'VENTAS 2020'!O74</f>
        <v>4055838.790904969</v>
      </c>
      <c r="K71" s="404">
        <f>+'VENTAS 2020'!P74</f>
        <v>63999.999999999993</v>
      </c>
      <c r="O71" s="575"/>
    </row>
    <row r="72" spans="1:16" s="44" customFormat="1" ht="21.95" customHeight="1" x14ac:dyDescent="0.25">
      <c r="A72" s="41"/>
      <c r="B72" s="874"/>
      <c r="C72" s="516" t="str">
        <f>+'VENTAS 2020'!G75</f>
        <v>CUDMANI GERMAN</v>
      </c>
      <c r="D72" s="402">
        <f>+'VENTAS 2020'!H75</f>
        <v>44162</v>
      </c>
      <c r="E72" s="405" t="str">
        <f>+'VENTAS 2020'!J75</f>
        <v>11ºC</v>
      </c>
      <c r="F72" s="405" t="str">
        <f>+'VENTAS 2020'!L75</f>
        <v>DUO</v>
      </c>
      <c r="G72" s="403">
        <f>+'VENTAS 2020'!M75</f>
        <v>63.372481107890145</v>
      </c>
      <c r="H72" s="431">
        <f t="shared" si="3"/>
        <v>25348.992443156054</v>
      </c>
      <c r="I72" s="431">
        <f t="shared" si="4"/>
        <v>399.99999999999994</v>
      </c>
      <c r="J72" s="404">
        <f>+'VENTAS 2020'!O75</f>
        <v>4055838.790904969</v>
      </c>
      <c r="K72" s="404">
        <f>+'VENTAS 2020'!P75</f>
        <v>63999.999999999993</v>
      </c>
      <c r="O72" s="575"/>
    </row>
    <row r="73" spans="1:16" s="44" customFormat="1" ht="21.95" customHeight="1" x14ac:dyDescent="0.25">
      <c r="A73" s="41"/>
      <c r="B73" s="874"/>
      <c r="C73" s="516" t="str">
        <f>+'VENTAS 2020'!G76</f>
        <v>CUDMANI GERMAN</v>
      </c>
      <c r="D73" s="402">
        <f>+'VENTAS 2020'!H76</f>
        <v>44162</v>
      </c>
      <c r="E73" s="405" t="str">
        <f>+'VENTAS 2020'!J76</f>
        <v>11ºD</v>
      </c>
      <c r="F73" s="405" t="str">
        <f>+'VENTAS 2020'!L76</f>
        <v>DUO</v>
      </c>
      <c r="G73" s="403">
        <f>+'VENTAS 2020'!M76</f>
        <v>69.752130534459056</v>
      </c>
      <c r="H73" s="431">
        <f t="shared" si="3"/>
        <v>27900.852213783619</v>
      </c>
      <c r="I73" s="431">
        <f t="shared" si="4"/>
        <v>399.99999999999994</v>
      </c>
      <c r="J73" s="404">
        <f>+'VENTAS 2020'!O76</f>
        <v>4464136.3542053793</v>
      </c>
      <c r="K73" s="404">
        <f>+'VENTAS 2020'!P76</f>
        <v>63999.999999999993</v>
      </c>
      <c r="O73" s="575"/>
    </row>
    <row r="74" spans="1:16" s="44" customFormat="1" ht="21.95" customHeight="1" x14ac:dyDescent="0.25">
      <c r="A74" s="41"/>
      <c r="B74" s="874"/>
      <c r="C74" s="516" t="str">
        <f>+'VENTAS 2020'!G77</f>
        <v>CUDMANI GERMAN</v>
      </c>
      <c r="D74" s="402">
        <f>+'VENTAS 2020'!H77</f>
        <v>44162</v>
      </c>
      <c r="E74" s="405" t="str">
        <f>+'VENTAS 2020'!J77</f>
        <v>11ºE</v>
      </c>
      <c r="F74" s="405" t="str">
        <f>+'VENTAS 2020'!L77</f>
        <v>DUO</v>
      </c>
      <c r="G74" s="403">
        <f>+'VENTAS 2020'!M77</f>
        <v>35.289155673899955</v>
      </c>
      <c r="H74" s="431">
        <f t="shared" si="3"/>
        <v>14115.662269559982</v>
      </c>
      <c r="I74" s="431">
        <f t="shared" si="4"/>
        <v>400</v>
      </c>
      <c r="J74" s="404">
        <f>+'VENTAS 2020'!O77</f>
        <v>2258505.9631295973</v>
      </c>
      <c r="K74" s="404">
        <f>+'VENTAS 2020'!P77</f>
        <v>64000</v>
      </c>
      <c r="O74" s="575"/>
    </row>
    <row r="75" spans="1:16" s="44" customFormat="1" ht="21.95" customHeight="1" x14ac:dyDescent="0.25">
      <c r="A75" s="41"/>
      <c r="B75" s="874"/>
      <c r="C75" s="516" t="str">
        <f>+'VENTAS 2020'!G78</f>
        <v>CUDMANI GERMAN</v>
      </c>
      <c r="D75" s="402">
        <f>+'VENTAS 2020'!H78</f>
        <v>44162</v>
      </c>
      <c r="E75" s="405" t="str">
        <f>+'VENTAS 2020'!J78</f>
        <v>11ºF</v>
      </c>
      <c r="F75" s="405" t="str">
        <f>+'VENTAS 2020'!L78</f>
        <v>DUO</v>
      </c>
      <c r="G75" s="403">
        <f>+'VENTAS 2020'!M78</f>
        <v>46.104657712134518</v>
      </c>
      <c r="H75" s="431">
        <f t="shared" si="3"/>
        <v>18441.863084853809</v>
      </c>
      <c r="I75" s="431">
        <f t="shared" si="4"/>
        <v>400</v>
      </c>
      <c r="J75" s="404">
        <f>+'VENTAS 2020'!O78</f>
        <v>2950698.0935766092</v>
      </c>
      <c r="K75" s="404">
        <f>+'VENTAS 2020'!P78</f>
        <v>64000</v>
      </c>
      <c r="O75" s="575"/>
    </row>
    <row r="76" spans="1:16" s="44" customFormat="1" ht="21.95" customHeight="1" x14ac:dyDescent="0.25">
      <c r="A76" s="41"/>
      <c r="B76" s="874"/>
      <c r="C76" s="516" t="str">
        <f>+'VENTAS 2020'!G79</f>
        <v>CUDMANI GERMAN</v>
      </c>
      <c r="D76" s="402">
        <f>+'VENTAS 2020'!H79</f>
        <v>44162</v>
      </c>
      <c r="E76" s="405" t="str">
        <f>+'VENTAS 2020'!J79</f>
        <v>11ºG</v>
      </c>
      <c r="F76" s="405" t="str">
        <f>+'VENTAS 2020'!L79</f>
        <v>DUO</v>
      </c>
      <c r="G76" s="403">
        <f>+'VENTAS 2020'!M79</f>
        <v>46.021720220423724</v>
      </c>
      <c r="H76" s="431">
        <f t="shared" si="3"/>
        <v>18408.688088169489</v>
      </c>
      <c r="I76" s="431">
        <f t="shared" si="4"/>
        <v>400</v>
      </c>
      <c r="J76" s="404">
        <f>+'VENTAS 2020'!O79</f>
        <v>2945390.0941071184</v>
      </c>
      <c r="K76" s="404">
        <f>+'VENTAS 2020'!P79</f>
        <v>64000</v>
      </c>
      <c r="O76" s="575"/>
    </row>
    <row r="77" spans="1:16" s="44" customFormat="1" ht="21.95" customHeight="1" x14ac:dyDescent="0.25">
      <c r="A77" s="41"/>
      <c r="B77" s="874"/>
      <c r="C77" s="516" t="str">
        <f>+'VENTAS 2020'!G80</f>
        <v>CUDMANI GERMAN</v>
      </c>
      <c r="D77" s="402">
        <f>+'VENTAS 2020'!H80</f>
        <v>44162</v>
      </c>
      <c r="E77" s="405" t="str">
        <f>+'VENTAS 2020'!J80</f>
        <v>11ºH</v>
      </c>
      <c r="F77" s="405" t="str">
        <f>+'VENTAS 2020'!L80</f>
        <v>DUO</v>
      </c>
      <c r="G77" s="403">
        <f>+'VENTAS 2020'!M80</f>
        <v>44.582026050343003</v>
      </c>
      <c r="H77" s="431">
        <f t="shared" si="3"/>
        <v>17832.810420137201</v>
      </c>
      <c r="I77" s="431">
        <f t="shared" si="4"/>
        <v>400</v>
      </c>
      <c r="J77" s="404">
        <f>+'VENTAS 2020'!O80</f>
        <v>2853249.6672219522</v>
      </c>
      <c r="K77" s="404">
        <f>+'VENTAS 2020'!P80</f>
        <v>64000</v>
      </c>
      <c r="O77" s="575"/>
    </row>
    <row r="78" spans="1:16" s="44" customFormat="1" ht="21.95" customHeight="1" x14ac:dyDescent="0.25">
      <c r="A78" s="41"/>
      <c r="B78" s="874"/>
      <c r="C78" s="516" t="str">
        <f>+'VENTAS 2020'!G81</f>
        <v>CUDMANI GERMAN</v>
      </c>
      <c r="D78" s="402">
        <f>+'VENTAS 2020'!H81</f>
        <v>44162</v>
      </c>
      <c r="E78" s="405" t="str">
        <f>+'VENTAS 2020'!J81</f>
        <v>11ºI</v>
      </c>
      <c r="F78" s="405" t="str">
        <f>+'VENTAS 2020'!L81</f>
        <v>DUO</v>
      </c>
      <c r="G78" s="403">
        <f>+'VENTAS 2020'!M81</f>
        <v>44.754378728322344</v>
      </c>
      <c r="H78" s="431">
        <f t="shared" si="3"/>
        <v>17901.751491328938</v>
      </c>
      <c r="I78" s="431">
        <f t="shared" si="4"/>
        <v>400</v>
      </c>
      <c r="J78" s="404">
        <f>+'VENTAS 2020'!O81</f>
        <v>2864280.2386126299</v>
      </c>
      <c r="K78" s="404">
        <f>+'VENTAS 2020'!P81</f>
        <v>64000</v>
      </c>
      <c r="O78" s="575"/>
    </row>
    <row r="79" spans="1:16" s="44" customFormat="1" ht="21.95" customHeight="1" x14ac:dyDescent="0.25">
      <c r="A79" s="41"/>
      <c r="B79" s="874"/>
      <c r="C79" s="516" t="str">
        <f>+'VENTAS 2020'!G82</f>
        <v>CUDMANI GERMAN</v>
      </c>
      <c r="D79" s="402">
        <f>+'VENTAS 2020'!H82</f>
        <v>44162</v>
      </c>
      <c r="E79" s="405" t="str">
        <f>+'VENTAS 2020'!J82</f>
        <v>11ºJ</v>
      </c>
      <c r="F79" s="405" t="str">
        <f>+'VENTAS 2020'!L82</f>
        <v>DUO</v>
      </c>
      <c r="G79" s="403">
        <f>+'VENTAS 2020'!M82</f>
        <v>73.207978671773532</v>
      </c>
      <c r="H79" s="431">
        <f t="shared" si="3"/>
        <v>29283.191468709418</v>
      </c>
      <c r="I79" s="431">
        <f t="shared" si="4"/>
        <v>400.00000000000006</v>
      </c>
      <c r="J79" s="404">
        <f>+'VENTAS 2020'!O82</f>
        <v>4685310.6349935066</v>
      </c>
      <c r="K79" s="404">
        <f>+'VENTAS 2020'!P82</f>
        <v>64000.000000000007</v>
      </c>
      <c r="O79" s="575"/>
    </row>
    <row r="80" spans="1:16" s="44" customFormat="1" ht="21.95" customHeight="1" x14ac:dyDescent="0.25">
      <c r="A80" s="41"/>
      <c r="B80" s="874"/>
      <c r="C80" s="516" t="str">
        <f>+'VENTAS 2020'!G83</f>
        <v>CUDMANI GERMAN</v>
      </c>
      <c r="D80" s="402">
        <f>+'VENTAS 2020'!H83</f>
        <v>44162</v>
      </c>
      <c r="E80" s="405" t="str">
        <f>+'VENTAS 2020'!J83</f>
        <v>12ºA</v>
      </c>
      <c r="F80" s="405" t="str">
        <f>+'VENTAS 2020'!L83</f>
        <v>DUO</v>
      </c>
      <c r="G80" s="403">
        <f>+'VENTAS 2020'!M83</f>
        <v>115.17619000980855</v>
      </c>
      <c r="H80" s="431">
        <f t="shared" si="3"/>
        <v>46070.476003923417</v>
      </c>
      <c r="I80" s="431">
        <f t="shared" si="4"/>
        <v>400</v>
      </c>
      <c r="J80" s="404">
        <f>+'VENTAS 2020'!O83</f>
        <v>7371276.160627747</v>
      </c>
      <c r="K80" s="404">
        <f>+'VENTAS 2020'!P83</f>
        <v>64000</v>
      </c>
      <c r="O80" s="575"/>
    </row>
    <row r="81" spans="1:29" s="44" customFormat="1" ht="21.95" customHeight="1" x14ac:dyDescent="0.25">
      <c r="A81" s="41"/>
      <c r="B81" s="874"/>
      <c r="C81" s="516" t="str">
        <f>+'VENTAS 2020'!G84</f>
        <v>CUDMANI GERMAN</v>
      </c>
      <c r="D81" s="402">
        <f>+'VENTAS 2020'!H84</f>
        <v>44162</v>
      </c>
      <c r="E81" s="405" t="str">
        <f>+'VENTAS 2020'!J84</f>
        <v>12ºB</v>
      </c>
      <c r="F81" s="405" t="str">
        <f>+'VENTAS 2020'!L84</f>
        <v>DUO</v>
      </c>
      <c r="G81" s="403">
        <f>+'VENTAS 2020'!M84</f>
        <v>63.372481107890145</v>
      </c>
      <c r="H81" s="431">
        <f t="shared" si="3"/>
        <v>25348.992443156054</v>
      </c>
      <c r="I81" s="431">
        <f t="shared" si="4"/>
        <v>399.99999999999994</v>
      </c>
      <c r="J81" s="404">
        <f>+'VENTAS 2020'!O84</f>
        <v>4055838.790904969</v>
      </c>
      <c r="K81" s="404">
        <f>+'VENTAS 2020'!P84</f>
        <v>63999.999999999993</v>
      </c>
      <c r="O81" s="575"/>
    </row>
    <row r="82" spans="1:29" s="44" customFormat="1" ht="21.95" customHeight="1" x14ac:dyDescent="0.25">
      <c r="A82" s="41"/>
      <c r="B82" s="874"/>
      <c r="C82" s="516" t="str">
        <f>+'VENTAS 2020'!G85</f>
        <v>CUDMANI GERMAN</v>
      </c>
      <c r="D82" s="402">
        <f>+'VENTAS 2020'!H85</f>
        <v>44162</v>
      </c>
      <c r="E82" s="405" t="str">
        <f>+'VENTAS 2020'!J85</f>
        <v>12ºC</v>
      </c>
      <c r="F82" s="405" t="str">
        <f>+'VENTAS 2020'!L85</f>
        <v>DUO</v>
      </c>
      <c r="G82" s="403">
        <f>+'VENTAS 2020'!M85</f>
        <v>63.372481107890145</v>
      </c>
      <c r="H82" s="431">
        <f t="shared" si="3"/>
        <v>25348.992443156054</v>
      </c>
      <c r="I82" s="431">
        <f t="shared" si="4"/>
        <v>399.99999999999994</v>
      </c>
      <c r="J82" s="404">
        <f>+'VENTAS 2020'!O85</f>
        <v>4055838.790904969</v>
      </c>
      <c r="K82" s="404">
        <f>+'VENTAS 2020'!P85</f>
        <v>63999.999999999993</v>
      </c>
      <c r="O82" s="575"/>
    </row>
    <row r="83" spans="1:29" s="44" customFormat="1" ht="21.95" customHeight="1" x14ac:dyDescent="0.25">
      <c r="A83" s="41"/>
      <c r="B83" s="874"/>
      <c r="C83" s="516" t="str">
        <f>+'VENTAS 2020'!G86</f>
        <v>CUDMANI GERMAN</v>
      </c>
      <c r="D83" s="402">
        <f>+'VENTAS 2020'!H86</f>
        <v>44162</v>
      </c>
      <c r="E83" s="405" t="str">
        <f>+'VENTAS 2020'!J86</f>
        <v>12ºD</v>
      </c>
      <c r="F83" s="405" t="str">
        <f>+'VENTAS 2020'!L86</f>
        <v>DUO</v>
      </c>
      <c r="G83" s="403">
        <f>+'VENTAS 2020'!M86</f>
        <v>69.752130534459056</v>
      </c>
      <c r="H83" s="431">
        <f t="shared" si="3"/>
        <v>27900.852213783619</v>
      </c>
      <c r="I83" s="431">
        <f t="shared" si="4"/>
        <v>399.99999999999994</v>
      </c>
      <c r="J83" s="404">
        <f>+'VENTAS 2020'!O86</f>
        <v>4464136.3542053793</v>
      </c>
      <c r="K83" s="404">
        <f>+'VENTAS 2020'!P86</f>
        <v>63999.999999999993</v>
      </c>
      <c r="O83" s="575"/>
    </row>
    <row r="84" spans="1:29" s="44" customFormat="1" ht="21.95" customHeight="1" x14ac:dyDescent="0.25">
      <c r="A84" s="41"/>
      <c r="B84" s="874"/>
      <c r="C84" s="516" t="str">
        <f>+'VENTAS 2020'!G87</f>
        <v>CUDMANI GERMAN</v>
      </c>
      <c r="D84" s="402">
        <f>+'VENTAS 2020'!H87</f>
        <v>44162</v>
      </c>
      <c r="E84" s="405" t="str">
        <f>+'VENTAS 2020'!J87</f>
        <v>12ºE</v>
      </c>
      <c r="F84" s="405" t="str">
        <f>+'VENTAS 2020'!L87</f>
        <v>DUO</v>
      </c>
      <c r="G84" s="403">
        <f>+'VENTAS 2020'!M87</f>
        <v>35.289155673899955</v>
      </c>
      <c r="H84" s="431">
        <f t="shared" si="3"/>
        <v>14115.662269559982</v>
      </c>
      <c r="I84" s="431">
        <f t="shared" si="4"/>
        <v>400</v>
      </c>
      <c r="J84" s="404">
        <f>+'VENTAS 2020'!O87</f>
        <v>2258505.9631295973</v>
      </c>
      <c r="K84" s="404">
        <f>+'VENTAS 2020'!P87</f>
        <v>64000</v>
      </c>
      <c r="O84" s="575"/>
    </row>
    <row r="85" spans="1:29" s="44" customFormat="1" ht="21.95" customHeight="1" x14ac:dyDescent="0.25">
      <c r="A85" s="41"/>
      <c r="B85" s="874"/>
      <c r="C85" s="516" t="str">
        <f>+'VENTAS 2020'!G88</f>
        <v>CUDMANI GERMAN</v>
      </c>
      <c r="D85" s="402">
        <f>+'VENTAS 2020'!H88</f>
        <v>44162</v>
      </c>
      <c r="E85" s="405" t="str">
        <f>+'VENTAS 2020'!J88</f>
        <v>12ºF</v>
      </c>
      <c r="F85" s="405" t="str">
        <f>+'VENTAS 2020'!L88</f>
        <v>DUO</v>
      </c>
      <c r="G85" s="403">
        <f>+'VENTAS 2020'!M88</f>
        <v>46.104657712134518</v>
      </c>
      <c r="H85" s="431">
        <f t="shared" si="3"/>
        <v>18441.863084853809</v>
      </c>
      <c r="I85" s="431">
        <f t="shared" si="4"/>
        <v>400</v>
      </c>
      <c r="J85" s="404">
        <f>+'VENTAS 2020'!O88</f>
        <v>2950698.0935766092</v>
      </c>
      <c r="K85" s="404">
        <f>+'VENTAS 2020'!P88</f>
        <v>64000</v>
      </c>
      <c r="O85" s="575"/>
    </row>
    <row r="86" spans="1:29" s="44" customFormat="1" ht="21.95" customHeight="1" x14ac:dyDescent="0.25">
      <c r="A86" s="41"/>
      <c r="B86" s="874"/>
      <c r="C86" s="516" t="str">
        <f>+'VENTAS 2020'!G89</f>
        <v>CUDMANI GERMAN</v>
      </c>
      <c r="D86" s="402">
        <f>+'VENTAS 2020'!H89</f>
        <v>44162</v>
      </c>
      <c r="E86" s="405" t="str">
        <f>+'VENTAS 2020'!J89</f>
        <v>12ºG</v>
      </c>
      <c r="F86" s="405" t="str">
        <f>+'VENTAS 2020'!L89</f>
        <v>DUO</v>
      </c>
      <c r="G86" s="403">
        <f>+'VENTAS 2020'!M89</f>
        <v>46.021720220423724</v>
      </c>
      <c r="H86" s="431">
        <f t="shared" si="3"/>
        <v>18408.688088169489</v>
      </c>
      <c r="I86" s="431">
        <f t="shared" si="4"/>
        <v>400</v>
      </c>
      <c r="J86" s="404">
        <f>+'VENTAS 2020'!O89</f>
        <v>2945390.0941071184</v>
      </c>
      <c r="K86" s="404">
        <f>+'VENTAS 2020'!P89</f>
        <v>64000</v>
      </c>
      <c r="O86" s="575"/>
    </row>
    <row r="87" spans="1:29" s="44" customFormat="1" ht="21.95" customHeight="1" x14ac:dyDescent="0.25">
      <c r="A87" s="41"/>
      <c r="B87" s="874"/>
      <c r="C87" s="516" t="str">
        <f>+'VENTAS 2020'!G90</f>
        <v>CUDMANI GERMAN</v>
      </c>
      <c r="D87" s="402">
        <f>+'VENTAS 2020'!H90</f>
        <v>44162</v>
      </c>
      <c r="E87" s="405" t="str">
        <f>+'VENTAS 2020'!J90</f>
        <v>12ºH</v>
      </c>
      <c r="F87" s="405" t="str">
        <f>+'VENTAS 2020'!L90</f>
        <v>DUO</v>
      </c>
      <c r="G87" s="403">
        <f>+'VENTAS 2020'!M90</f>
        <v>44.582026050343003</v>
      </c>
      <c r="H87" s="431">
        <f t="shared" si="3"/>
        <v>17832.810420137201</v>
      </c>
      <c r="I87" s="431">
        <f t="shared" si="4"/>
        <v>400</v>
      </c>
      <c r="J87" s="404">
        <f>+'VENTAS 2020'!O90</f>
        <v>2853249.6672219522</v>
      </c>
      <c r="K87" s="404">
        <f>+'VENTAS 2020'!P90</f>
        <v>64000</v>
      </c>
      <c r="O87" s="575"/>
    </row>
    <row r="88" spans="1:29" s="44" customFormat="1" ht="21.95" customHeight="1" x14ac:dyDescent="0.25">
      <c r="A88" s="41"/>
      <c r="B88" s="874"/>
      <c r="C88" s="516" t="str">
        <f>+'VENTAS 2020'!G91</f>
        <v>CUDMANI GERMAN</v>
      </c>
      <c r="D88" s="402">
        <f>+'VENTAS 2020'!H91</f>
        <v>44162</v>
      </c>
      <c r="E88" s="405" t="str">
        <f>+'VENTAS 2020'!J91</f>
        <v>12ºI</v>
      </c>
      <c r="F88" s="405" t="str">
        <f>+'VENTAS 2020'!L91</f>
        <v>DUO</v>
      </c>
      <c r="G88" s="403">
        <f>+'VENTAS 2020'!M91</f>
        <v>44.754378728322344</v>
      </c>
      <c r="H88" s="431">
        <f t="shared" si="3"/>
        <v>17901.751491328938</v>
      </c>
      <c r="I88" s="431">
        <f t="shared" si="4"/>
        <v>400</v>
      </c>
      <c r="J88" s="404">
        <f>+'VENTAS 2020'!O91</f>
        <v>2864280.2386126299</v>
      </c>
      <c r="K88" s="404">
        <f>+'VENTAS 2020'!P91</f>
        <v>64000</v>
      </c>
      <c r="O88" s="575"/>
    </row>
    <row r="89" spans="1:29" s="44" customFormat="1" ht="21.95" customHeight="1" x14ac:dyDescent="0.25">
      <c r="A89" s="41"/>
      <c r="B89" s="874"/>
      <c r="C89" s="516" t="str">
        <f>+'VENTAS 2020'!G92</f>
        <v>CUDMANI GERMAN</v>
      </c>
      <c r="D89" s="402">
        <f>+'VENTAS 2020'!H92</f>
        <v>44162</v>
      </c>
      <c r="E89" s="405" t="str">
        <f>+'VENTAS 2020'!J92</f>
        <v>12ºJ</v>
      </c>
      <c r="F89" s="405" t="str">
        <f>+'VENTAS 2020'!L92</f>
        <v>DUO</v>
      </c>
      <c r="G89" s="403">
        <f>+'VENTAS 2020'!M92</f>
        <v>73.207978671773532</v>
      </c>
      <c r="H89" s="431">
        <f t="shared" si="3"/>
        <v>29283.191468709418</v>
      </c>
      <c r="I89" s="431">
        <f t="shared" si="4"/>
        <v>400.00000000000006</v>
      </c>
      <c r="J89" s="404">
        <f>+'VENTAS 2020'!O92</f>
        <v>4685310.6349935066</v>
      </c>
      <c r="K89" s="404">
        <f>+'VENTAS 2020'!P92</f>
        <v>64000.000000000007</v>
      </c>
      <c r="O89" s="575"/>
    </row>
    <row r="90" spans="1:29" s="44" customFormat="1" ht="21.95" customHeight="1" x14ac:dyDescent="0.25">
      <c r="A90" s="41"/>
      <c r="B90" s="874"/>
      <c r="C90" s="516" t="str">
        <f>+'VENTAS 2020'!G93</f>
        <v xml:space="preserve">BARROS </v>
      </c>
      <c r="D90" s="402">
        <f>+'VENTAS 2020'!H93</f>
        <v>44162</v>
      </c>
      <c r="E90" s="405" t="str">
        <f>+'VENTAS 2020'!J93</f>
        <v>2ºE</v>
      </c>
      <c r="F90" s="405" t="str">
        <f>+'VENTAS 2020'!L93</f>
        <v xml:space="preserve">ISAURA </v>
      </c>
      <c r="G90" s="403">
        <f>+'VENTAS 2020'!M93</f>
        <v>41.35</v>
      </c>
      <c r="H90" s="431">
        <f t="shared" si="3"/>
        <v>23886.95</v>
      </c>
      <c r="I90" s="431">
        <f t="shared" si="4"/>
        <v>577.677146311971</v>
      </c>
      <c r="J90" s="404">
        <f>+'VENTAS 2020'!O93</f>
        <v>3821912</v>
      </c>
      <c r="K90" s="404">
        <f>+'VENTAS 2020'!P93</f>
        <v>92428.343409915353</v>
      </c>
      <c r="O90" s="575"/>
    </row>
    <row r="91" spans="1:29" s="44" customFormat="1" ht="21.95" customHeight="1" thickBot="1" x14ac:dyDescent="0.3">
      <c r="A91" s="41"/>
      <c r="B91" s="875"/>
      <c r="C91" s="516" t="str">
        <f>+'VENTAS 2020'!G94</f>
        <v xml:space="preserve">FERRONI CECILIA </v>
      </c>
      <c r="D91" s="402">
        <f>+'VENTAS 2020'!H94</f>
        <v>44165</v>
      </c>
      <c r="E91" s="405" t="str">
        <f>+'VENTAS 2020'!J94</f>
        <v>7ºC</v>
      </c>
      <c r="F91" s="405" t="str">
        <f>+'VENTAS 2020'!L94</f>
        <v xml:space="preserve">ISAURA </v>
      </c>
      <c r="G91" s="403">
        <f>+'VENTAS 2020'!M94</f>
        <v>56</v>
      </c>
      <c r="H91" s="431">
        <f>+I91*G91</f>
        <v>33317.692307692312</v>
      </c>
      <c r="I91" s="431">
        <f>+K91/156</f>
        <v>594.95879120879124</v>
      </c>
      <c r="J91" s="404">
        <f>+'VENTAS 2020'!O94</f>
        <v>5197560</v>
      </c>
      <c r="K91" s="404">
        <f>+'VENTAS 2020'!P94</f>
        <v>92813.571428571435</v>
      </c>
      <c r="L91" s="146" t="s">
        <v>34</v>
      </c>
      <c r="M91" s="51">
        <f>SUM(J68:J91)</f>
        <v>92540521.576568961</v>
      </c>
      <c r="N91" s="149">
        <v>7525</v>
      </c>
      <c r="O91" s="571">
        <f>+M91/N91</f>
        <v>12297.743731105509</v>
      </c>
    </row>
    <row r="92" spans="1:29" s="44" customFormat="1" ht="21.95" customHeight="1" x14ac:dyDescent="0.25">
      <c r="A92" s="41"/>
      <c r="B92" s="908" t="s">
        <v>35</v>
      </c>
      <c r="C92" s="515" t="str">
        <f>+'VENTAS 2020'!G95</f>
        <v>LISCHINSKY</v>
      </c>
      <c r="D92" s="395">
        <f>+'VENTAS 2020'!H95</f>
        <v>44194</v>
      </c>
      <c r="E92" s="396" t="str">
        <f>+'VENTAS 2020'!J95</f>
        <v>1°C</v>
      </c>
      <c r="F92" s="396" t="str">
        <f>+'VENTAS 2020'!L95</f>
        <v xml:space="preserve">ISAURA </v>
      </c>
      <c r="G92" s="397">
        <f>+'VENTAS 2020'!M95</f>
        <v>56</v>
      </c>
      <c r="H92" s="430">
        <f>+I92*G92</f>
        <v>30782.822085889573</v>
      </c>
      <c r="I92" s="430">
        <f>+K92/((166+160)/2)</f>
        <v>549.69325153374234</v>
      </c>
      <c r="J92" s="398">
        <f>+'VENTAS 2020'!O95</f>
        <v>5017600</v>
      </c>
      <c r="K92" s="398">
        <f>+'VENTAS 2020'!P95</f>
        <v>89600</v>
      </c>
      <c r="O92" s="575"/>
    </row>
    <row r="93" spans="1:29" s="44" customFormat="1" ht="21.95" customHeight="1" thickBot="1" x14ac:dyDescent="0.3">
      <c r="A93" s="41"/>
      <c r="B93" s="909"/>
      <c r="C93" s="515" t="str">
        <f>+'VENTAS 2020'!G96</f>
        <v>LISCHINSKY</v>
      </c>
      <c r="D93" s="395">
        <f>+'VENTAS 2020'!H96</f>
        <v>44194</v>
      </c>
      <c r="E93" s="396" t="str">
        <f>+'VENTAS 2020'!J96</f>
        <v>13°D</v>
      </c>
      <c r="F93" s="396" t="str">
        <f>+'VENTAS 2020'!L96</f>
        <v xml:space="preserve">ISAURA </v>
      </c>
      <c r="G93" s="397">
        <f>+'VENTAS 2020'!M96</f>
        <v>104.43</v>
      </c>
      <c r="H93" s="430">
        <f>+I93*G93</f>
        <v>60461.871165644181</v>
      </c>
      <c r="I93" s="430">
        <f>+K93/((166+160)/2)</f>
        <v>578.97032620553648</v>
      </c>
      <c r="J93" s="398">
        <f>+'VENTAS 2020'!O96</f>
        <v>9855285</v>
      </c>
      <c r="K93" s="398">
        <f>+'VENTAS 2020'!P96</f>
        <v>94372.163171502441</v>
      </c>
      <c r="L93" s="146" t="s">
        <v>35</v>
      </c>
      <c r="M93" s="51">
        <f>SUM(J92:J93)</f>
        <v>14872885</v>
      </c>
      <c r="N93" s="149">
        <v>7720</v>
      </c>
      <c r="O93" s="571">
        <f>+M93/N93</f>
        <v>1926.5395077720207</v>
      </c>
    </row>
    <row r="94" spans="1:29" s="44" customFormat="1" x14ac:dyDescent="0.25">
      <c r="A94" s="41"/>
      <c r="B94" s="148"/>
      <c r="C94" s="36"/>
      <c r="D94" s="35"/>
      <c r="E94" s="36"/>
      <c r="F94" s="36"/>
      <c r="G94" s="37"/>
      <c r="H94" s="37"/>
      <c r="I94" s="37"/>
      <c r="J94" s="38"/>
      <c r="K94" s="38"/>
      <c r="L94" s="8"/>
      <c r="M94" s="339">
        <f>SUM(M5:M93)</f>
        <v>334665571.84422863</v>
      </c>
      <c r="N94"/>
      <c r="O94" s="576">
        <f>+O15+O16+O20+O21+O30+O42+O48+O52+O67+O91+O93</f>
        <v>49395.99816044313</v>
      </c>
      <c r="P94"/>
      <c r="Q94"/>
      <c r="R94"/>
      <c r="S94"/>
      <c r="T94"/>
      <c r="U94"/>
      <c r="V94"/>
    </row>
    <row r="95" spans="1:29" s="44" customFormat="1" x14ac:dyDescent="0.25">
      <c r="A95"/>
      <c r="B95" s="147"/>
      <c r="C95"/>
      <c r="D95" s="7"/>
      <c r="E95"/>
      <c r="F95"/>
      <c r="G95" s="14">
        <f>SUM(G5:G94)</f>
        <v>4975.1853996338878</v>
      </c>
      <c r="H95" s="429">
        <f>SUM(H5:H94)</f>
        <v>2623457.3110498749</v>
      </c>
      <c r="I95" s="429">
        <f>AVERAGE(I5:I93)</f>
        <v>520.07573974214006</v>
      </c>
      <c r="J95" s="8">
        <f>SUM(J5:J94)</f>
        <v>334665571.84422845</v>
      </c>
      <c r="K95" s="8"/>
      <c r="M95" s="150">
        <f>+M94-J95</f>
        <v>0</v>
      </c>
      <c r="N95" s="151" t="s">
        <v>25</v>
      </c>
      <c r="O95" s="577"/>
      <c r="P95"/>
      <c r="Q95"/>
      <c r="R95"/>
      <c r="S95"/>
      <c r="T95"/>
      <c r="U95"/>
      <c r="V95"/>
    </row>
    <row r="96" spans="1:29" ht="29.25" customHeight="1" x14ac:dyDescent="0.25">
      <c r="A96" s="2"/>
      <c r="D96" s="519" t="s">
        <v>306</v>
      </c>
      <c r="E96" s="520" t="s">
        <v>307</v>
      </c>
      <c r="F96" s="520" t="s">
        <v>404</v>
      </c>
      <c r="G96" s="520" t="s">
        <v>52</v>
      </c>
      <c r="H96" s="520" t="s">
        <v>308</v>
      </c>
      <c r="W96" s="44"/>
      <c r="X96" s="44"/>
      <c r="Y96" s="44"/>
      <c r="Z96" s="44"/>
      <c r="AA96" s="44"/>
      <c r="AB96" s="44"/>
      <c r="AC96" s="44"/>
    </row>
    <row r="97" spans="3:29" x14ac:dyDescent="0.25">
      <c r="C97" s="518">
        <v>2019</v>
      </c>
      <c r="D97" s="641">
        <f>+'M3 - USD 2019'!D100</f>
        <v>4899.1099999999988</v>
      </c>
      <c r="E97" s="530">
        <f>+'M3 - USD 2019'!E100</f>
        <v>4053383.7701735483</v>
      </c>
      <c r="F97" s="530">
        <f>+'M3 - USD 2019'!K97</f>
        <v>887.50280128649285</v>
      </c>
      <c r="G97" s="531">
        <f>+'M3 - USD 2019'!F100</f>
        <v>222354272.56593472</v>
      </c>
      <c r="H97" s="641">
        <f>+'M3 - USD 2019'!H100</f>
        <v>44004.418971371859</v>
      </c>
      <c r="W97" s="44"/>
      <c r="X97" s="44"/>
      <c r="Y97" s="44"/>
      <c r="Z97" s="44"/>
      <c r="AA97" s="44"/>
      <c r="AB97" s="44"/>
      <c r="AC97" s="44"/>
    </row>
    <row r="98" spans="3:29" x14ac:dyDescent="0.25">
      <c r="C98" s="518">
        <v>2020</v>
      </c>
      <c r="D98" s="641">
        <f>+G95</f>
        <v>4975.1853996338878</v>
      </c>
      <c r="E98" s="530">
        <f>+H95</f>
        <v>2623457.3110498749</v>
      </c>
      <c r="F98" s="530">
        <f>+I95</f>
        <v>520.07573974214006</v>
      </c>
      <c r="G98" s="531">
        <f>+J95</f>
        <v>334665571.84422845</v>
      </c>
      <c r="H98" s="641">
        <f>+O94</f>
        <v>49395.99816044313</v>
      </c>
    </row>
    <row r="99" spans="3:29" x14ac:dyDescent="0.25">
      <c r="E99" s="372"/>
      <c r="F99" s="372"/>
      <c r="G99" s="372"/>
    </row>
    <row r="100" spans="3:29" x14ac:dyDescent="0.25">
      <c r="C100" t="s">
        <v>405</v>
      </c>
    </row>
    <row r="1048335" spans="15:15" x14ac:dyDescent="0.25">
      <c r="O1048335" s="47"/>
    </row>
    <row r="1048336" spans="15:15" x14ac:dyDescent="0.25">
      <c r="O1048336" s="47"/>
    </row>
    <row r="1048337" spans="15:15" x14ac:dyDescent="0.25">
      <c r="O1048337" s="47"/>
    </row>
    <row r="1048338" spans="15:15" x14ac:dyDescent="0.25">
      <c r="O1048338" s="47"/>
    </row>
    <row r="1048339" spans="15:15" x14ac:dyDescent="0.25">
      <c r="O1048339" s="47"/>
    </row>
    <row r="1048340" spans="15:15" x14ac:dyDescent="0.25">
      <c r="O1048340" s="47"/>
    </row>
    <row r="1048341" spans="15:15" x14ac:dyDescent="0.25">
      <c r="O1048341" s="47"/>
    </row>
    <row r="1048342" spans="15:15" x14ac:dyDescent="0.25">
      <c r="O1048342" s="47"/>
    </row>
  </sheetData>
  <autoFilter ref="C4:P98"/>
  <mergeCells count="9">
    <mergeCell ref="B92:B93"/>
    <mergeCell ref="B5:B15"/>
    <mergeCell ref="B17:B20"/>
    <mergeCell ref="B53:B67"/>
    <mergeCell ref="B22:B30"/>
    <mergeCell ref="B31:B42"/>
    <mergeCell ref="B43:B48"/>
    <mergeCell ref="B49:B52"/>
    <mergeCell ref="B68:B91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3" orientation="landscape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H152"/>
  <sheetViews>
    <sheetView showGridLines="0" topLeftCell="C1" zoomScale="91" zoomScaleNormal="91" workbookViewId="0">
      <selection activeCell="G12" sqref="A4:G13"/>
    </sheetView>
  </sheetViews>
  <sheetFormatPr baseColWidth="10" defaultRowHeight="15" x14ac:dyDescent="0.25"/>
  <cols>
    <col min="1" max="1" width="0" hidden="1" customWidth="1"/>
    <col min="2" max="2" width="3.5703125" hidden="1" customWidth="1"/>
    <col min="3" max="3" width="4.28515625" customWidth="1"/>
    <col min="4" max="4" width="3.7109375" hidden="1" customWidth="1"/>
    <col min="5" max="5" width="18.85546875" customWidth="1"/>
    <col min="6" max="6" width="19.28515625" style="7" customWidth="1"/>
    <col min="7" max="7" width="15.5703125" style="7" bestFit="1" customWidth="1"/>
    <col min="8" max="8" width="19.28515625" customWidth="1"/>
    <col min="9" max="9" width="15.5703125" style="173" customWidth="1"/>
    <col min="10" max="10" width="19.28515625" bestFit="1" customWidth="1"/>
    <col min="11" max="11" width="15.85546875" bestFit="1" customWidth="1"/>
    <col min="12" max="12" width="15.85546875" customWidth="1"/>
    <col min="13" max="13" width="18" style="8" customWidth="1"/>
    <col min="14" max="14" width="17.7109375" style="8" customWidth="1"/>
    <col min="15" max="15" width="20.140625" style="8" bestFit="1" customWidth="1"/>
    <col min="16" max="16" width="15.5703125" style="372" customWidth="1"/>
    <col min="17" max="17" width="17.140625" style="8" hidden="1" customWidth="1"/>
    <col min="18" max="18" width="18" style="8" hidden="1" customWidth="1"/>
    <col min="19" max="19" width="14.5703125" style="8" hidden="1" customWidth="1"/>
    <col min="20" max="20" width="15.5703125" style="8" hidden="1" customWidth="1"/>
    <col min="21" max="21" width="14.5703125" style="8" hidden="1" customWidth="1"/>
    <col min="22" max="24" width="18" style="8" hidden="1" customWidth="1"/>
    <col min="25" max="25" width="16.85546875" style="8" hidden="1" customWidth="1"/>
    <col min="26" max="26" width="19.28515625" style="8" hidden="1" customWidth="1"/>
    <col min="27" max="29" width="18" style="8" hidden="1" customWidth="1"/>
    <col min="30" max="30" width="14.5703125" customWidth="1"/>
    <col min="31" max="31" width="83.5703125" bestFit="1" customWidth="1"/>
    <col min="32" max="32" width="11.42578125" customWidth="1"/>
    <col min="36" max="36" width="15.28515625" bestFit="1" customWidth="1"/>
  </cols>
  <sheetData>
    <row r="2" spans="2:31" ht="15.75" thickBot="1" x14ac:dyDescent="0.3">
      <c r="K2" s="7"/>
      <c r="L2" s="7"/>
    </row>
    <row r="3" spans="2:31" ht="15.75" thickBot="1" x14ac:dyDescent="0.3">
      <c r="B3" s="2"/>
      <c r="C3" s="16" t="s">
        <v>38</v>
      </c>
      <c r="D3" s="34"/>
      <c r="E3" s="15"/>
      <c r="F3" s="15"/>
      <c r="G3" s="15"/>
      <c r="H3" s="15"/>
      <c r="I3" s="15"/>
      <c r="J3" s="15"/>
      <c r="K3" s="15"/>
      <c r="L3" s="15"/>
      <c r="M3" s="15"/>
      <c r="N3" s="432"/>
      <c r="O3" s="15"/>
      <c r="P3" s="579"/>
      <c r="Q3" s="433" t="s">
        <v>5</v>
      </c>
      <c r="R3" s="433" t="s">
        <v>10</v>
      </c>
      <c r="S3" s="433" t="s">
        <v>11</v>
      </c>
      <c r="T3" s="433" t="s">
        <v>12</v>
      </c>
      <c r="U3" s="433" t="s">
        <v>15</v>
      </c>
      <c r="V3" s="433" t="s">
        <v>24</v>
      </c>
      <c r="W3" s="434" t="s">
        <v>29</v>
      </c>
      <c r="X3" s="434" t="s">
        <v>30</v>
      </c>
      <c r="Y3" s="433" t="s">
        <v>31</v>
      </c>
      <c r="Z3" s="433" t="s">
        <v>33</v>
      </c>
      <c r="AA3" s="433" t="s">
        <v>34</v>
      </c>
      <c r="AB3" s="434" t="s">
        <v>35</v>
      </c>
      <c r="AC3" s="434" t="s">
        <v>49</v>
      </c>
      <c r="AD3" s="11"/>
      <c r="AE3" s="11"/>
    </row>
    <row r="4" spans="2:31" ht="30.75" thickBot="1" x14ac:dyDescent="0.3">
      <c r="B4" s="2"/>
      <c r="C4" s="882" t="s">
        <v>5</v>
      </c>
      <c r="D4" s="426"/>
      <c r="E4" s="28" t="s">
        <v>0</v>
      </c>
      <c r="F4" s="27" t="s">
        <v>37</v>
      </c>
      <c r="G4" s="27"/>
      <c r="H4" s="28" t="s">
        <v>309</v>
      </c>
      <c r="I4" s="28" t="s">
        <v>310</v>
      </c>
      <c r="J4" s="29" t="s">
        <v>1</v>
      </c>
      <c r="K4" s="30" t="s">
        <v>27</v>
      </c>
      <c r="L4" s="30"/>
      <c r="M4" s="31" t="s">
        <v>57</v>
      </c>
      <c r="N4" s="31" t="s">
        <v>36</v>
      </c>
      <c r="O4" s="568" t="s">
        <v>374</v>
      </c>
      <c r="P4" s="373" t="s">
        <v>400</v>
      </c>
      <c r="Q4" s="31" t="s">
        <v>7</v>
      </c>
      <c r="R4" s="31" t="s">
        <v>7</v>
      </c>
      <c r="S4" s="31" t="s">
        <v>7</v>
      </c>
      <c r="T4" s="31" t="s">
        <v>7</v>
      </c>
      <c r="U4" s="31" t="s">
        <v>7</v>
      </c>
      <c r="V4" s="31" t="s">
        <v>7</v>
      </c>
      <c r="W4" s="31" t="s">
        <v>7</v>
      </c>
      <c r="X4" s="31" t="s">
        <v>7</v>
      </c>
      <c r="Y4" s="31" t="s">
        <v>39</v>
      </c>
      <c r="Z4" s="31" t="s">
        <v>39</v>
      </c>
      <c r="AA4" s="31" t="s">
        <v>39</v>
      </c>
      <c r="AB4" s="31" t="s">
        <v>39</v>
      </c>
      <c r="AC4" s="237" t="s">
        <v>39</v>
      </c>
      <c r="AD4" s="30" t="s">
        <v>311</v>
      </c>
      <c r="AE4" s="435" t="s">
        <v>28</v>
      </c>
    </row>
    <row r="5" spans="2:31" x14ac:dyDescent="0.25">
      <c r="B5" s="2"/>
      <c r="C5" s="883"/>
      <c r="D5" s="427"/>
      <c r="E5" s="182" t="s">
        <v>132</v>
      </c>
      <c r="F5" s="240">
        <v>43493</v>
      </c>
      <c r="G5" s="240" t="s">
        <v>312</v>
      </c>
      <c r="H5" s="182" t="s">
        <v>377</v>
      </c>
      <c r="I5" s="182" t="s">
        <v>54</v>
      </c>
      <c r="J5" s="155" t="s">
        <v>6</v>
      </c>
      <c r="K5" s="157">
        <v>71.959999999999994</v>
      </c>
      <c r="L5" s="157" t="s">
        <v>281</v>
      </c>
      <c r="M5" s="158">
        <v>2840566</v>
      </c>
      <c r="N5" s="158">
        <f>+M5/K5</f>
        <v>39474.235686492502</v>
      </c>
      <c r="O5" s="158">
        <v>2736691</v>
      </c>
      <c r="P5" s="580">
        <f>+(M5-O5)/O5</f>
        <v>3.7956422555560712E-2</v>
      </c>
      <c r="Q5" s="158">
        <v>67447</v>
      </c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254"/>
      <c r="AD5" s="420">
        <f t="shared" ref="AD5:AD34" si="0">SUM(Q5:AB5)</f>
        <v>67447</v>
      </c>
      <c r="AE5" s="421" t="s">
        <v>313</v>
      </c>
    </row>
    <row r="6" spans="2:31" x14ac:dyDescent="0.25">
      <c r="B6" s="2"/>
      <c r="C6" s="883"/>
      <c r="D6" s="427"/>
      <c r="E6" s="182" t="s">
        <v>134</v>
      </c>
      <c r="F6" s="240">
        <v>43487</v>
      </c>
      <c r="G6" s="240" t="s">
        <v>60</v>
      </c>
      <c r="H6" s="182" t="s">
        <v>376</v>
      </c>
      <c r="I6" s="182" t="s">
        <v>54</v>
      </c>
      <c r="J6" s="155" t="s">
        <v>6</v>
      </c>
      <c r="K6" s="157">
        <v>74.760000000000005</v>
      </c>
      <c r="L6" s="157" t="s">
        <v>280</v>
      </c>
      <c r="M6" s="158">
        <v>2600000</v>
      </c>
      <c r="N6" s="158">
        <f>+M6/K6</f>
        <v>34777.956126270728</v>
      </c>
      <c r="O6" s="158">
        <v>2900308</v>
      </c>
      <c r="P6" s="580">
        <f>+(M6-O6)/O6</f>
        <v>-0.10354348572634355</v>
      </c>
      <c r="Q6" s="158">
        <v>0</v>
      </c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417">
        <f t="shared" si="0"/>
        <v>0</v>
      </c>
      <c r="AE6" s="421" t="s">
        <v>314</v>
      </c>
    </row>
    <row r="7" spans="2:31" ht="15.75" thickBot="1" x14ac:dyDescent="0.3">
      <c r="B7" s="2"/>
      <c r="C7" s="884"/>
      <c r="D7" s="427"/>
      <c r="E7" s="185" t="s">
        <v>135</v>
      </c>
      <c r="F7" s="241">
        <v>43475</v>
      </c>
      <c r="G7" s="241" t="s">
        <v>312</v>
      </c>
      <c r="H7" s="185" t="s">
        <v>389</v>
      </c>
      <c r="I7" s="185" t="s">
        <v>54</v>
      </c>
      <c r="J7" s="242" t="s">
        <v>8</v>
      </c>
      <c r="K7" s="243">
        <v>41.53</v>
      </c>
      <c r="L7" s="243" t="s">
        <v>281</v>
      </c>
      <c r="M7" s="187">
        <v>1548030</v>
      </c>
      <c r="N7" s="187">
        <f>+M7/K7</f>
        <v>37274.981940765712</v>
      </c>
      <c r="O7" s="187">
        <v>1356793</v>
      </c>
      <c r="P7" s="585">
        <f>+(M7-O7)/O7</f>
        <v>0.14094780854559244</v>
      </c>
      <c r="Q7" s="187">
        <v>14468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436">
        <f t="shared" si="0"/>
        <v>14468</v>
      </c>
      <c r="AE7" s="437" t="s">
        <v>315</v>
      </c>
    </row>
    <row r="8" spans="2:31" x14ac:dyDescent="0.25">
      <c r="B8" s="2"/>
      <c r="C8" s="882" t="s">
        <v>10</v>
      </c>
      <c r="D8" s="427"/>
      <c r="E8" s="438" t="s">
        <v>316</v>
      </c>
      <c r="F8" s="439">
        <v>43522</v>
      </c>
      <c r="G8" s="439" t="s">
        <v>312</v>
      </c>
      <c r="H8" s="438" t="s">
        <v>317</v>
      </c>
      <c r="I8" s="438" t="s">
        <v>55</v>
      </c>
      <c r="J8" s="440" t="s">
        <v>6</v>
      </c>
      <c r="K8" s="257">
        <v>22.14</v>
      </c>
      <c r="L8" s="257" t="s">
        <v>281</v>
      </c>
      <c r="M8" s="258">
        <v>690784</v>
      </c>
      <c r="N8" s="258"/>
      <c r="O8" s="258"/>
      <c r="P8" s="581" t="s">
        <v>279</v>
      </c>
      <c r="Q8" s="441"/>
      <c r="R8" s="258">
        <v>0</v>
      </c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442">
        <f t="shared" si="0"/>
        <v>0</v>
      </c>
      <c r="AE8" s="443" t="s">
        <v>318</v>
      </c>
    </row>
    <row r="9" spans="2:31" x14ac:dyDescent="0.25">
      <c r="B9" s="2"/>
      <c r="C9" s="883"/>
      <c r="D9" s="427"/>
      <c r="E9" s="245" t="s">
        <v>136</v>
      </c>
      <c r="F9" s="244">
        <v>43508</v>
      </c>
      <c r="G9" s="244" t="s">
        <v>312</v>
      </c>
      <c r="H9" s="245" t="s">
        <v>379</v>
      </c>
      <c r="I9" s="245" t="s">
        <v>54</v>
      </c>
      <c r="J9" s="246" t="s">
        <v>6</v>
      </c>
      <c r="K9" s="247">
        <v>71.959999999999994</v>
      </c>
      <c r="L9" s="247" t="s">
        <v>280</v>
      </c>
      <c r="M9" s="9">
        <v>2674000</v>
      </c>
      <c r="N9" s="9">
        <f t="shared" ref="N9:N26" si="1">+M9/K9</f>
        <v>37159.533073929968</v>
      </c>
      <c r="O9" s="9">
        <v>3021073</v>
      </c>
      <c r="P9" s="582">
        <f t="shared" ref="P9:P14" si="2">+(M9-O9)/O9</f>
        <v>-0.11488401637431468</v>
      </c>
      <c r="Q9" s="444"/>
      <c r="R9" s="9">
        <v>2674000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445">
        <f t="shared" si="0"/>
        <v>2674000</v>
      </c>
      <c r="AE9" s="446" t="s">
        <v>378</v>
      </c>
    </row>
    <row r="10" spans="2:31" ht="15.75" thickBot="1" x14ac:dyDescent="0.3">
      <c r="B10" s="2"/>
      <c r="C10" s="883"/>
      <c r="D10" s="427"/>
      <c r="E10" s="245" t="s">
        <v>137</v>
      </c>
      <c r="F10" s="244">
        <v>43508</v>
      </c>
      <c r="G10" s="244" t="s">
        <v>312</v>
      </c>
      <c r="H10" s="245" t="s">
        <v>380</v>
      </c>
      <c r="I10" s="245" t="s">
        <v>54</v>
      </c>
      <c r="J10" s="246" t="s">
        <v>6</v>
      </c>
      <c r="K10" s="247">
        <v>39.69</v>
      </c>
      <c r="L10" s="247" t="s">
        <v>280</v>
      </c>
      <c r="M10" s="9">
        <v>1528000</v>
      </c>
      <c r="N10" s="9">
        <f t="shared" si="1"/>
        <v>38498.36230788612</v>
      </c>
      <c r="O10" s="9">
        <v>1649176</v>
      </c>
      <c r="P10" s="582">
        <f t="shared" si="2"/>
        <v>-7.3476693815578198E-2</v>
      </c>
      <c r="Q10" s="444"/>
      <c r="R10" s="9">
        <v>1528000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445">
        <f t="shared" si="0"/>
        <v>1528000</v>
      </c>
      <c r="AE10" s="446" t="s">
        <v>279</v>
      </c>
    </row>
    <row r="11" spans="2:31" x14ac:dyDescent="0.25">
      <c r="B11" s="2"/>
      <c r="C11" s="926" t="s">
        <v>11</v>
      </c>
      <c r="D11" s="271"/>
      <c r="E11" s="251" t="s">
        <v>138</v>
      </c>
      <c r="F11" s="250">
        <v>43545</v>
      </c>
      <c r="G11" s="250" t="s">
        <v>312</v>
      </c>
      <c r="H11" s="251" t="s">
        <v>379</v>
      </c>
      <c r="I11" s="251" t="s">
        <v>54</v>
      </c>
      <c r="J11" s="252" t="s">
        <v>9</v>
      </c>
      <c r="K11" s="253">
        <v>52.35</v>
      </c>
      <c r="L11" s="253" t="s">
        <v>280</v>
      </c>
      <c r="M11" s="254">
        <v>1939568</v>
      </c>
      <c r="N11" s="254">
        <f t="shared" si="1"/>
        <v>37050.009551098374</v>
      </c>
      <c r="O11" s="254">
        <v>2048797</v>
      </c>
      <c r="P11" s="587">
        <f t="shared" si="2"/>
        <v>-5.3313725078668113E-2</v>
      </c>
      <c r="Q11" s="450"/>
      <c r="R11" s="254"/>
      <c r="S11" s="254">
        <v>0</v>
      </c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07">
        <f t="shared" si="0"/>
        <v>0</v>
      </c>
      <c r="AE11" s="451" t="s">
        <v>319</v>
      </c>
    </row>
    <row r="12" spans="2:31" x14ac:dyDescent="0.25">
      <c r="B12" s="2"/>
      <c r="C12" s="927"/>
      <c r="D12" s="271"/>
      <c r="E12" s="182" t="s">
        <v>138</v>
      </c>
      <c r="F12" s="240">
        <v>43545</v>
      </c>
      <c r="G12" s="240" t="s">
        <v>312</v>
      </c>
      <c r="H12" s="182" t="s">
        <v>277</v>
      </c>
      <c r="I12" s="182" t="s">
        <v>54</v>
      </c>
      <c r="J12" s="155" t="s">
        <v>9</v>
      </c>
      <c r="K12" s="157">
        <v>65.81</v>
      </c>
      <c r="L12" s="157" t="s">
        <v>280</v>
      </c>
      <c r="M12" s="158">
        <v>2412032</v>
      </c>
      <c r="N12" s="158">
        <f t="shared" si="1"/>
        <v>36651.451147242056</v>
      </c>
      <c r="O12" s="158">
        <v>2575575</v>
      </c>
      <c r="P12" s="580">
        <f t="shared" si="2"/>
        <v>-6.349766556982421E-2</v>
      </c>
      <c r="Q12" s="452"/>
      <c r="R12" s="158"/>
      <c r="S12" s="158">
        <v>0</v>
      </c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417">
        <f t="shared" si="0"/>
        <v>0</v>
      </c>
      <c r="AE12" s="421" t="s">
        <v>319</v>
      </c>
    </row>
    <row r="13" spans="2:31" ht="15.75" thickBot="1" x14ac:dyDescent="0.3">
      <c r="B13" s="2"/>
      <c r="C13" s="928"/>
      <c r="D13" s="271"/>
      <c r="E13" s="185" t="s">
        <v>139</v>
      </c>
      <c r="F13" s="241">
        <v>43532</v>
      </c>
      <c r="G13" s="241" t="s">
        <v>312</v>
      </c>
      <c r="H13" s="185" t="s">
        <v>390</v>
      </c>
      <c r="I13" s="185" t="s">
        <v>54</v>
      </c>
      <c r="J13" s="242" t="s">
        <v>9</v>
      </c>
      <c r="K13" s="243">
        <v>47.17</v>
      </c>
      <c r="L13" s="243" t="s">
        <v>281</v>
      </c>
      <c r="M13" s="187">
        <v>2180346</v>
      </c>
      <c r="N13" s="187">
        <f t="shared" si="1"/>
        <v>46223.15030739877</v>
      </c>
      <c r="O13" s="187">
        <v>1741842</v>
      </c>
      <c r="P13" s="585">
        <f t="shared" si="2"/>
        <v>0.25174728821557868</v>
      </c>
      <c r="Q13" s="453"/>
      <c r="R13" s="187"/>
      <c r="S13" s="187">
        <v>415000</v>
      </c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436">
        <f t="shared" si="0"/>
        <v>415000</v>
      </c>
      <c r="AE13" s="437" t="s">
        <v>320</v>
      </c>
    </row>
    <row r="14" spans="2:31" x14ac:dyDescent="0.25">
      <c r="B14" s="2"/>
      <c r="C14" s="926" t="s">
        <v>12</v>
      </c>
      <c r="D14" s="271"/>
      <c r="E14" s="286" t="s">
        <v>140</v>
      </c>
      <c r="F14" s="255">
        <v>43566</v>
      </c>
      <c r="G14" s="255" t="s">
        <v>312</v>
      </c>
      <c r="H14" s="256" t="s">
        <v>141</v>
      </c>
      <c r="I14" s="256" t="s">
        <v>54</v>
      </c>
      <c r="J14" s="220" t="s">
        <v>13</v>
      </c>
      <c r="K14" s="257">
        <v>459.95</v>
      </c>
      <c r="L14" s="257" t="s">
        <v>280</v>
      </c>
      <c r="M14" s="258">
        <v>16188000</v>
      </c>
      <c r="N14" s="258">
        <f t="shared" si="1"/>
        <v>35195.129905424503</v>
      </c>
      <c r="O14" s="258">
        <v>19173703</v>
      </c>
      <c r="P14" s="581">
        <f t="shared" si="2"/>
        <v>-0.15571864235093241</v>
      </c>
      <c r="Q14" s="441"/>
      <c r="R14" s="258"/>
      <c r="S14" s="258"/>
      <c r="T14" s="258">
        <f>60000*42.6</f>
        <v>2556000</v>
      </c>
      <c r="U14" s="258"/>
      <c r="V14" s="258"/>
      <c r="W14" s="258"/>
      <c r="X14" s="258"/>
      <c r="Y14" s="258"/>
      <c r="Z14" s="258"/>
      <c r="AA14" s="258"/>
      <c r="AB14" s="258"/>
      <c r="AC14" s="454"/>
      <c r="AD14" s="455">
        <f t="shared" si="0"/>
        <v>2556000</v>
      </c>
      <c r="AE14" s="443" t="s">
        <v>321</v>
      </c>
    </row>
    <row r="15" spans="2:31" x14ac:dyDescent="0.25">
      <c r="B15" s="2"/>
      <c r="C15" s="929"/>
      <c r="D15" s="271"/>
      <c r="E15" s="260" t="s">
        <v>140</v>
      </c>
      <c r="F15" s="259">
        <v>43566</v>
      </c>
      <c r="G15" s="272" t="s">
        <v>312</v>
      </c>
      <c r="H15" s="17" t="s">
        <v>322</v>
      </c>
      <c r="I15" s="17" t="s">
        <v>55</v>
      </c>
      <c r="J15" s="19" t="s">
        <v>13</v>
      </c>
      <c r="K15" s="20">
        <v>52</v>
      </c>
      <c r="L15" s="20" t="s">
        <v>281</v>
      </c>
      <c r="M15" s="21">
        <f>1218017/2</f>
        <v>609008.5</v>
      </c>
      <c r="N15" s="21"/>
      <c r="O15" s="21"/>
      <c r="P15" s="21" t="s">
        <v>279</v>
      </c>
      <c r="Q15" s="457"/>
      <c r="R15" s="21"/>
      <c r="S15" s="21"/>
      <c r="T15" s="21">
        <f>+M15</f>
        <v>609008.5</v>
      </c>
      <c r="U15" s="21"/>
      <c r="V15" s="21"/>
      <c r="W15" s="21"/>
      <c r="X15" s="21"/>
      <c r="Y15" s="21"/>
      <c r="Z15" s="21"/>
      <c r="AA15" s="21"/>
      <c r="AB15" s="21"/>
      <c r="AC15" s="9"/>
      <c r="AD15" s="445">
        <f t="shared" si="0"/>
        <v>609008.5</v>
      </c>
      <c r="AE15" s="458"/>
    </row>
    <row r="16" spans="2:31" x14ac:dyDescent="0.25">
      <c r="B16" s="2"/>
      <c r="C16" s="929"/>
      <c r="D16" s="271"/>
      <c r="E16" s="17" t="s">
        <v>140</v>
      </c>
      <c r="F16" s="456">
        <v>43566</v>
      </c>
      <c r="G16" s="456" t="s">
        <v>312</v>
      </c>
      <c r="H16" s="17" t="s">
        <v>323</v>
      </c>
      <c r="I16" s="17" t="s">
        <v>55</v>
      </c>
      <c r="J16" s="19" t="s">
        <v>13</v>
      </c>
      <c r="K16" s="20">
        <v>37.090000000000003</v>
      </c>
      <c r="L16" s="20" t="s">
        <v>281</v>
      </c>
      <c r="M16" s="21">
        <f>1218017/2</f>
        <v>609008.5</v>
      </c>
      <c r="N16" s="21"/>
      <c r="O16" s="21"/>
      <c r="P16" s="21" t="s">
        <v>279</v>
      </c>
      <c r="Q16" s="457"/>
      <c r="R16" s="21"/>
      <c r="S16" s="21"/>
      <c r="T16" s="21">
        <f>+M16</f>
        <v>609008.5</v>
      </c>
      <c r="U16" s="21"/>
      <c r="V16" s="21"/>
      <c r="W16" s="21"/>
      <c r="X16" s="21"/>
      <c r="Y16" s="21"/>
      <c r="Z16" s="21"/>
      <c r="AA16" s="21"/>
      <c r="AB16" s="21"/>
      <c r="AC16" s="21"/>
      <c r="AD16" s="445">
        <f t="shared" si="0"/>
        <v>609008.5</v>
      </c>
      <c r="AE16" s="458"/>
    </row>
    <row r="17" spans="2:34" x14ac:dyDescent="0.25">
      <c r="B17" s="2"/>
      <c r="C17" s="927"/>
      <c r="D17" s="271"/>
      <c r="E17" s="260" t="s">
        <v>142</v>
      </c>
      <c r="F17" s="259">
        <v>43558</v>
      </c>
      <c r="G17" s="259" t="s">
        <v>312</v>
      </c>
      <c r="H17" s="260" t="s">
        <v>143</v>
      </c>
      <c r="I17" s="260" t="s">
        <v>54</v>
      </c>
      <c r="J17" s="222" t="s">
        <v>133</v>
      </c>
      <c r="K17" s="247">
        <v>64.959999999999994</v>
      </c>
      <c r="L17" s="247" t="s">
        <v>280</v>
      </c>
      <c r="M17" s="9">
        <v>2663360</v>
      </c>
      <c r="N17" s="9">
        <f t="shared" si="1"/>
        <v>41000.000000000007</v>
      </c>
      <c r="O17" s="9">
        <v>2663360</v>
      </c>
      <c r="P17" s="9" t="s">
        <v>279</v>
      </c>
      <c r="Q17" s="444"/>
      <c r="R17" s="9"/>
      <c r="S17" s="9"/>
      <c r="T17" s="9">
        <v>2663360</v>
      </c>
      <c r="U17" s="9"/>
      <c r="V17" s="9"/>
      <c r="W17" s="9"/>
      <c r="X17" s="9"/>
      <c r="Y17" s="9"/>
      <c r="Z17" s="9"/>
      <c r="AA17" s="9"/>
      <c r="AB17" s="9"/>
      <c r="AC17" s="9"/>
      <c r="AD17" s="445">
        <f t="shared" si="0"/>
        <v>2663360</v>
      </c>
      <c r="AE17" s="446" t="s">
        <v>396</v>
      </c>
    </row>
    <row r="18" spans="2:34" x14ac:dyDescent="0.25">
      <c r="B18" s="2"/>
      <c r="C18" s="927"/>
      <c r="D18" s="271"/>
      <c r="E18" s="260" t="s">
        <v>144</v>
      </c>
      <c r="F18" s="259">
        <v>43573</v>
      </c>
      <c r="G18" s="259" t="s">
        <v>312</v>
      </c>
      <c r="H18" s="260" t="s">
        <v>145</v>
      </c>
      <c r="I18" s="260" t="s">
        <v>54</v>
      </c>
      <c r="J18" s="222" t="s">
        <v>14</v>
      </c>
      <c r="K18" s="247">
        <v>55.49</v>
      </c>
      <c r="L18" s="247" t="s">
        <v>280</v>
      </c>
      <c r="M18" s="9">
        <v>2200000</v>
      </c>
      <c r="N18" s="9">
        <f t="shared" si="1"/>
        <v>39646.783204180931</v>
      </c>
      <c r="O18" s="9">
        <v>2200000</v>
      </c>
      <c r="P18" s="582">
        <f t="shared" ref="P18:P26" si="3">+(M18-O18)/O18</f>
        <v>0</v>
      </c>
      <c r="Q18" s="444"/>
      <c r="R18" s="9"/>
      <c r="S18" s="9"/>
      <c r="T18" s="9">
        <v>2200000</v>
      </c>
      <c r="U18" s="9"/>
      <c r="V18" s="9"/>
      <c r="W18" s="9"/>
      <c r="X18" s="9"/>
      <c r="Y18" s="9"/>
      <c r="Z18" s="9"/>
      <c r="AA18" s="9"/>
      <c r="AB18" s="9"/>
      <c r="AC18" s="9"/>
      <c r="AD18" s="445">
        <f t="shared" si="0"/>
        <v>2200000</v>
      </c>
      <c r="AE18" s="446" t="s">
        <v>397</v>
      </c>
    </row>
    <row r="19" spans="2:34" x14ac:dyDescent="0.25">
      <c r="B19" s="2"/>
      <c r="C19" s="927"/>
      <c r="D19" s="271"/>
      <c r="E19" s="260" t="s">
        <v>146</v>
      </c>
      <c r="F19" s="259">
        <v>43573</v>
      </c>
      <c r="G19" s="259" t="s">
        <v>312</v>
      </c>
      <c r="H19" s="260" t="s">
        <v>147</v>
      </c>
      <c r="I19" s="260" t="s">
        <v>54</v>
      </c>
      <c r="J19" s="222" t="s">
        <v>14</v>
      </c>
      <c r="K19" s="247">
        <v>103.5</v>
      </c>
      <c r="L19" s="247" t="s">
        <v>280</v>
      </c>
      <c r="M19" s="9">
        <v>4423373</v>
      </c>
      <c r="N19" s="9">
        <f t="shared" si="1"/>
        <v>42737.903381642514</v>
      </c>
      <c r="O19" s="9">
        <v>4511427</v>
      </c>
      <c r="P19" s="582">
        <f t="shared" si="3"/>
        <v>-1.9517992865671994E-2</v>
      </c>
      <c r="Q19" s="444"/>
      <c r="R19" s="9"/>
      <c r="S19" s="9"/>
      <c r="T19" s="9">
        <v>1980900</v>
      </c>
      <c r="U19" s="9"/>
      <c r="V19" s="9"/>
      <c r="W19" s="9"/>
      <c r="X19" s="9"/>
      <c r="Y19" s="9"/>
      <c r="Z19" s="9"/>
      <c r="AA19" s="9"/>
      <c r="AB19" s="9"/>
      <c r="AC19" s="9"/>
      <c r="AD19" s="445">
        <f t="shared" si="0"/>
        <v>1980900</v>
      </c>
      <c r="AE19" s="446" t="s">
        <v>398</v>
      </c>
    </row>
    <row r="20" spans="2:34" x14ac:dyDescent="0.25">
      <c r="B20" s="2"/>
      <c r="C20" s="927"/>
      <c r="D20" s="271"/>
      <c r="E20" s="260" t="s">
        <v>148</v>
      </c>
      <c r="F20" s="259">
        <v>43558</v>
      </c>
      <c r="G20" s="259" t="s">
        <v>312</v>
      </c>
      <c r="H20" s="260" t="s">
        <v>381</v>
      </c>
      <c r="I20" s="260" t="s">
        <v>54</v>
      </c>
      <c r="J20" s="222" t="s">
        <v>6</v>
      </c>
      <c r="K20" s="247">
        <v>40.61</v>
      </c>
      <c r="L20" s="247" t="s">
        <v>280</v>
      </c>
      <c r="M20" s="9">
        <v>1665010</v>
      </c>
      <c r="N20" s="9">
        <f t="shared" si="1"/>
        <v>41000</v>
      </c>
      <c r="O20" s="9">
        <v>1687540</v>
      </c>
      <c r="P20" s="582">
        <f t="shared" si="3"/>
        <v>-1.335079464783057E-2</v>
      </c>
      <c r="Q20" s="444"/>
      <c r="R20" s="9"/>
      <c r="S20" s="9"/>
      <c r="T20" s="9">
        <v>0</v>
      </c>
      <c r="U20" s="9"/>
      <c r="V20" s="9"/>
      <c r="W20" s="9"/>
      <c r="X20" s="9"/>
      <c r="Y20" s="9"/>
      <c r="Z20" s="9"/>
      <c r="AA20" s="9"/>
      <c r="AB20" s="9"/>
      <c r="AC20" s="9"/>
      <c r="AD20" s="445">
        <f t="shared" si="0"/>
        <v>0</v>
      </c>
      <c r="AE20" s="446" t="s">
        <v>319</v>
      </c>
    </row>
    <row r="21" spans="2:34" x14ac:dyDescent="0.25">
      <c r="B21" s="2"/>
      <c r="C21" s="927"/>
      <c r="D21" s="271"/>
      <c r="E21" s="260" t="s">
        <v>148</v>
      </c>
      <c r="F21" s="259">
        <v>43558</v>
      </c>
      <c r="G21" s="259" t="s">
        <v>312</v>
      </c>
      <c r="H21" s="260" t="s">
        <v>358</v>
      </c>
      <c r="I21" s="260" t="s">
        <v>54</v>
      </c>
      <c r="J21" s="222" t="s">
        <v>6</v>
      </c>
      <c r="K21" s="247">
        <v>40.61</v>
      </c>
      <c r="L21" s="247" t="s">
        <v>280</v>
      </c>
      <c r="M21" s="9">
        <v>1665010</v>
      </c>
      <c r="N21" s="9">
        <f t="shared" si="1"/>
        <v>41000</v>
      </c>
      <c r="O21" s="9">
        <v>1687540</v>
      </c>
      <c r="P21" s="582">
        <f t="shared" si="3"/>
        <v>-1.335079464783057E-2</v>
      </c>
      <c r="Q21" s="444"/>
      <c r="R21" s="9"/>
      <c r="S21" s="9"/>
      <c r="T21" s="9">
        <v>900000</v>
      </c>
      <c r="U21" s="9"/>
      <c r="V21" s="9"/>
      <c r="W21" s="9"/>
      <c r="X21" s="9"/>
      <c r="Y21" s="9"/>
      <c r="Z21" s="9"/>
      <c r="AA21" s="9"/>
      <c r="AB21" s="9"/>
      <c r="AC21" s="9"/>
      <c r="AD21" s="445">
        <f t="shared" si="0"/>
        <v>900000</v>
      </c>
      <c r="AE21" s="446" t="s">
        <v>319</v>
      </c>
    </row>
    <row r="22" spans="2:34" x14ac:dyDescent="0.25">
      <c r="B22" s="2"/>
      <c r="C22" s="927"/>
      <c r="D22" s="271"/>
      <c r="E22" s="260" t="s">
        <v>149</v>
      </c>
      <c r="F22" s="259">
        <v>43585</v>
      </c>
      <c r="G22" s="259" t="s">
        <v>312</v>
      </c>
      <c r="H22" s="260" t="s">
        <v>391</v>
      </c>
      <c r="I22" s="260" t="s">
        <v>54</v>
      </c>
      <c r="J22" s="222" t="s">
        <v>6</v>
      </c>
      <c r="K22" s="247">
        <v>40.61</v>
      </c>
      <c r="L22" s="247"/>
      <c r="M22" s="9">
        <v>1743787</v>
      </c>
      <c r="N22" s="9">
        <f t="shared" si="1"/>
        <v>42939.842403348928</v>
      </c>
      <c r="O22" s="9">
        <v>1687540</v>
      </c>
      <c r="P22" s="582">
        <f t="shared" si="3"/>
        <v>3.333076549296609E-2</v>
      </c>
      <c r="Q22" s="444"/>
      <c r="R22" s="9"/>
      <c r="S22" s="9"/>
      <c r="T22" s="9">
        <v>750000</v>
      </c>
      <c r="U22" s="9"/>
      <c r="V22" s="9"/>
      <c r="W22" s="9"/>
      <c r="X22" s="9"/>
      <c r="Y22" s="9"/>
      <c r="Z22" s="9"/>
      <c r="AA22" s="9"/>
      <c r="AB22" s="9"/>
      <c r="AC22" s="9"/>
      <c r="AD22" s="445">
        <f t="shared" si="0"/>
        <v>750000</v>
      </c>
      <c r="AE22" s="446" t="s">
        <v>321</v>
      </c>
    </row>
    <row r="23" spans="2:34" ht="15.75" thickBot="1" x14ac:dyDescent="0.3">
      <c r="B23" s="2"/>
      <c r="C23" s="928"/>
      <c r="D23" s="271"/>
      <c r="E23" s="12" t="s">
        <v>149</v>
      </c>
      <c r="F23" s="261">
        <v>43585</v>
      </c>
      <c r="G23" s="261" t="s">
        <v>312</v>
      </c>
      <c r="H23" s="12" t="s">
        <v>392</v>
      </c>
      <c r="I23" s="12" t="s">
        <v>54</v>
      </c>
      <c r="J23" s="3" t="s">
        <v>6</v>
      </c>
      <c r="K23" s="248">
        <v>40.61</v>
      </c>
      <c r="L23" s="248"/>
      <c r="M23" s="249">
        <v>1743787</v>
      </c>
      <c r="N23" s="249">
        <f t="shared" si="1"/>
        <v>42939.842403348928</v>
      </c>
      <c r="O23" s="249">
        <v>1687540</v>
      </c>
      <c r="P23" s="583">
        <f t="shared" si="3"/>
        <v>3.333076549296609E-2</v>
      </c>
      <c r="Q23" s="447"/>
      <c r="R23" s="249"/>
      <c r="S23" s="249"/>
      <c r="T23" s="249">
        <v>750000</v>
      </c>
      <c r="U23" s="249"/>
      <c r="V23" s="249"/>
      <c r="W23" s="249"/>
      <c r="X23" s="249"/>
      <c r="Y23" s="249"/>
      <c r="Z23" s="249"/>
      <c r="AA23" s="249"/>
      <c r="AB23" s="249"/>
      <c r="AC23" s="249"/>
      <c r="AD23" s="448">
        <f t="shared" si="0"/>
        <v>750000</v>
      </c>
      <c r="AE23" s="449" t="s">
        <v>321</v>
      </c>
    </row>
    <row r="24" spans="2:34" ht="34.5" thickBot="1" x14ac:dyDescent="0.3">
      <c r="B24" s="2"/>
      <c r="C24" s="459" t="s">
        <v>15</v>
      </c>
      <c r="D24" s="271"/>
      <c r="E24" s="263" t="s">
        <v>151</v>
      </c>
      <c r="F24" s="262">
        <v>43591</v>
      </c>
      <c r="G24" s="262" t="s">
        <v>312</v>
      </c>
      <c r="H24" s="263" t="s">
        <v>376</v>
      </c>
      <c r="I24" s="263" t="s">
        <v>54</v>
      </c>
      <c r="J24" s="264" t="s">
        <v>8</v>
      </c>
      <c r="K24" s="265">
        <v>41.38</v>
      </c>
      <c r="L24" s="265" t="s">
        <v>281</v>
      </c>
      <c r="M24" s="266">
        <v>1421113</v>
      </c>
      <c r="N24" s="266">
        <f t="shared" si="1"/>
        <v>34342.991783470272</v>
      </c>
      <c r="O24" s="266">
        <v>1435550</v>
      </c>
      <c r="P24" s="584">
        <f t="shared" si="3"/>
        <v>-1.0056772665528891E-2</v>
      </c>
      <c r="Q24" s="460"/>
      <c r="R24" s="266"/>
      <c r="S24" s="266"/>
      <c r="T24" s="266"/>
      <c r="U24" s="266">
        <v>400000</v>
      </c>
      <c r="V24" s="266"/>
      <c r="W24" s="266"/>
      <c r="X24" s="266"/>
      <c r="Y24" s="266"/>
      <c r="Z24" s="266"/>
      <c r="AA24" s="266"/>
      <c r="AB24" s="266"/>
      <c r="AC24" s="266"/>
      <c r="AD24" s="461">
        <f t="shared" si="0"/>
        <v>400000</v>
      </c>
      <c r="AE24" s="462" t="s">
        <v>321</v>
      </c>
    </row>
    <row r="25" spans="2:34" x14ac:dyDescent="0.25">
      <c r="B25" s="4"/>
      <c r="C25" s="926" t="s">
        <v>24</v>
      </c>
      <c r="D25" s="271"/>
      <c r="E25" s="256" t="s">
        <v>152</v>
      </c>
      <c r="F25" s="267">
        <v>43623</v>
      </c>
      <c r="G25" s="267" t="s">
        <v>60</v>
      </c>
      <c r="H25" s="256" t="s">
        <v>393</v>
      </c>
      <c r="I25" s="256" t="s">
        <v>54</v>
      </c>
      <c r="J25" s="220" t="s">
        <v>6</v>
      </c>
      <c r="K25" s="257">
        <v>40.61</v>
      </c>
      <c r="L25" s="257" t="s">
        <v>280</v>
      </c>
      <c r="M25" s="258">
        <v>1660000</v>
      </c>
      <c r="N25" s="258">
        <f t="shared" si="1"/>
        <v>40876.631371583353</v>
      </c>
      <c r="O25" s="258">
        <v>1771998</v>
      </c>
      <c r="P25" s="581">
        <f t="shared" si="3"/>
        <v>-6.320436027580166E-2</v>
      </c>
      <c r="Q25" s="441"/>
      <c r="R25" s="258"/>
      <c r="S25" s="258"/>
      <c r="T25" s="258"/>
      <c r="U25" s="258"/>
      <c r="V25" s="258">
        <v>105291.05419081089</v>
      </c>
      <c r="W25" s="258"/>
      <c r="X25" s="258"/>
      <c r="Y25" s="258"/>
      <c r="Z25" s="258"/>
      <c r="AA25" s="258"/>
      <c r="AB25" s="258"/>
      <c r="AC25" s="258"/>
      <c r="AD25" s="442">
        <f t="shared" si="0"/>
        <v>105291.05419081089</v>
      </c>
      <c r="AE25" s="443" t="s">
        <v>314</v>
      </c>
    </row>
    <row r="26" spans="2:34" x14ac:dyDescent="0.25">
      <c r="B26" s="4"/>
      <c r="C26" s="927"/>
      <c r="D26" s="271"/>
      <c r="E26" s="260" t="s">
        <v>152</v>
      </c>
      <c r="F26" s="259">
        <v>43623</v>
      </c>
      <c r="G26" s="259" t="s">
        <v>60</v>
      </c>
      <c r="H26" s="260" t="s">
        <v>394</v>
      </c>
      <c r="I26" s="260" t="s">
        <v>54</v>
      </c>
      <c r="J26" s="222" t="s">
        <v>6</v>
      </c>
      <c r="K26" s="247">
        <v>40.61</v>
      </c>
      <c r="L26" s="247" t="s">
        <v>280</v>
      </c>
      <c r="M26" s="9">
        <v>1660000</v>
      </c>
      <c r="N26" s="9">
        <f t="shared" si="1"/>
        <v>40876.631371583353</v>
      </c>
      <c r="O26" s="9">
        <v>1771998</v>
      </c>
      <c r="P26" s="582">
        <f t="shared" si="3"/>
        <v>-6.320436027580166E-2</v>
      </c>
      <c r="Q26" s="444"/>
      <c r="R26" s="9"/>
      <c r="S26" s="9"/>
      <c r="T26" s="9"/>
      <c r="U26" s="9"/>
      <c r="V26" s="9">
        <v>105291.05419081089</v>
      </c>
      <c r="W26" s="9"/>
      <c r="X26" s="9"/>
      <c r="Y26" s="9"/>
      <c r="Z26" s="9"/>
      <c r="AA26" s="9"/>
      <c r="AB26" s="9"/>
      <c r="AC26" s="9"/>
      <c r="AD26" s="445">
        <f t="shared" si="0"/>
        <v>105291.05419081089</v>
      </c>
      <c r="AE26" s="446" t="s">
        <v>314</v>
      </c>
      <c r="AH26" s="463"/>
    </row>
    <row r="27" spans="2:34" x14ac:dyDescent="0.25">
      <c r="B27" s="4"/>
      <c r="C27" s="927"/>
      <c r="D27" s="271"/>
      <c r="E27" s="260" t="s">
        <v>152</v>
      </c>
      <c r="F27" s="259">
        <v>43623</v>
      </c>
      <c r="G27" s="259" t="s">
        <v>60</v>
      </c>
      <c r="H27" s="260" t="s">
        <v>317</v>
      </c>
      <c r="I27" s="260" t="s">
        <v>55</v>
      </c>
      <c r="J27" s="222" t="s">
        <v>6</v>
      </c>
      <c r="K27" s="247">
        <v>19.77</v>
      </c>
      <c r="L27" s="247" t="s">
        <v>280</v>
      </c>
      <c r="M27" s="9">
        <v>430000</v>
      </c>
      <c r="N27" s="9"/>
      <c r="O27" s="9"/>
      <c r="P27" s="582" t="s">
        <v>279</v>
      </c>
      <c r="Q27" s="444"/>
      <c r="R27" s="9"/>
      <c r="S27" s="9"/>
      <c r="T27" s="9"/>
      <c r="U27" s="9"/>
      <c r="V27" s="9">
        <v>339708.94580918911</v>
      </c>
      <c r="W27" s="9"/>
      <c r="X27" s="9"/>
      <c r="Y27" s="9"/>
      <c r="Z27" s="9"/>
      <c r="AA27" s="9"/>
      <c r="AB27" s="9"/>
      <c r="AC27" s="9"/>
      <c r="AD27" s="445">
        <f t="shared" si="0"/>
        <v>339708.94580918911</v>
      </c>
      <c r="AE27" s="446" t="s">
        <v>279</v>
      </c>
    </row>
    <row r="28" spans="2:34" x14ac:dyDescent="0.25">
      <c r="B28" s="4"/>
      <c r="C28" s="927"/>
      <c r="D28" s="271"/>
      <c r="E28" s="260" t="s">
        <v>152</v>
      </c>
      <c r="F28" s="259">
        <v>43623</v>
      </c>
      <c r="G28" s="259" t="s">
        <v>60</v>
      </c>
      <c r="H28" s="260" t="s">
        <v>317</v>
      </c>
      <c r="I28" s="260" t="s">
        <v>55</v>
      </c>
      <c r="J28" s="222" t="s">
        <v>6</v>
      </c>
      <c r="K28" s="247">
        <v>19.77</v>
      </c>
      <c r="L28" s="247" t="s">
        <v>280</v>
      </c>
      <c r="M28" s="9">
        <v>430000</v>
      </c>
      <c r="N28" s="9"/>
      <c r="O28" s="9"/>
      <c r="P28" s="582" t="s">
        <v>279</v>
      </c>
      <c r="Q28" s="444"/>
      <c r="R28" s="9"/>
      <c r="S28" s="9"/>
      <c r="T28" s="9"/>
      <c r="U28" s="9"/>
      <c r="V28" s="9">
        <v>339708.94580918911</v>
      </c>
      <c r="W28" s="9"/>
      <c r="X28" s="9"/>
      <c r="Y28" s="9"/>
      <c r="Z28" s="9"/>
      <c r="AA28" s="9"/>
      <c r="AB28" s="9"/>
      <c r="AC28" s="9"/>
      <c r="AD28" s="445">
        <f t="shared" si="0"/>
        <v>339708.94580918911</v>
      </c>
      <c r="AE28" s="446" t="s">
        <v>279</v>
      </c>
    </row>
    <row r="29" spans="2:34" x14ac:dyDescent="0.25">
      <c r="B29" s="4"/>
      <c r="C29" s="927"/>
      <c r="D29" s="271"/>
      <c r="E29" s="260" t="s">
        <v>153</v>
      </c>
      <c r="F29" s="259">
        <v>43637</v>
      </c>
      <c r="G29" s="259" t="s">
        <v>312</v>
      </c>
      <c r="H29" s="260" t="s">
        <v>154</v>
      </c>
      <c r="I29" s="260" t="s">
        <v>54</v>
      </c>
      <c r="J29" s="222" t="s">
        <v>4</v>
      </c>
      <c r="K29" s="247">
        <v>56.71</v>
      </c>
      <c r="L29" s="247" t="s">
        <v>281</v>
      </c>
      <c r="M29" s="9">
        <v>2100000</v>
      </c>
      <c r="N29" s="9">
        <f t="shared" ref="N29:N53" si="4">+M29/K29</f>
        <v>37030.506083583139</v>
      </c>
      <c r="O29" s="9">
        <v>2601683</v>
      </c>
      <c r="P29" s="582">
        <f t="shared" ref="P29:P57" si="5">+(M29-O29)/O29</f>
        <v>-0.19283017954147372</v>
      </c>
      <c r="Q29" s="444"/>
      <c r="R29" s="9"/>
      <c r="S29" s="9"/>
      <c r="T29" s="9"/>
      <c r="U29" s="9"/>
      <c r="V29" s="9">
        <v>892500</v>
      </c>
      <c r="W29" s="9">
        <f>2100000-V29</f>
        <v>1207500</v>
      </c>
      <c r="X29" s="9"/>
      <c r="Y29" s="9"/>
      <c r="Z29" s="9"/>
      <c r="AA29" s="9"/>
      <c r="AB29" s="9"/>
      <c r="AC29" s="9"/>
      <c r="AD29" s="445">
        <f t="shared" si="0"/>
        <v>2100000</v>
      </c>
      <c r="AE29" s="446" t="s">
        <v>387</v>
      </c>
    </row>
    <row r="30" spans="2:34" x14ac:dyDescent="0.25">
      <c r="B30" s="4"/>
      <c r="C30" s="927"/>
      <c r="D30" s="271"/>
      <c r="E30" s="260" t="s">
        <v>155</v>
      </c>
      <c r="F30" s="259">
        <v>43640</v>
      </c>
      <c r="G30" s="259" t="s">
        <v>312</v>
      </c>
      <c r="H30" s="260" t="s">
        <v>87</v>
      </c>
      <c r="I30" s="260" t="s">
        <v>54</v>
      </c>
      <c r="J30" s="222" t="s">
        <v>14</v>
      </c>
      <c r="K30" s="247">
        <v>55.49</v>
      </c>
      <c r="L30" s="247" t="s">
        <v>280</v>
      </c>
      <c r="M30" s="9">
        <v>2256500</v>
      </c>
      <c r="N30" s="9">
        <f t="shared" si="4"/>
        <v>40664.984681924667</v>
      </c>
      <c r="O30" s="9">
        <v>2250000</v>
      </c>
      <c r="P30" s="582">
        <f t="shared" si="5"/>
        <v>2.8888888888888888E-3</v>
      </c>
      <c r="Q30" s="444"/>
      <c r="R30" s="9"/>
      <c r="S30" s="9"/>
      <c r="T30" s="9"/>
      <c r="U30" s="9"/>
      <c r="V30" s="9">
        <v>2250000</v>
      </c>
      <c r="W30" s="9"/>
      <c r="X30" s="9"/>
      <c r="Y30" s="9"/>
      <c r="Z30" s="9"/>
      <c r="AA30" s="9"/>
      <c r="AB30" s="9"/>
      <c r="AC30" s="9"/>
      <c r="AD30" s="445">
        <f t="shared" si="0"/>
        <v>2250000</v>
      </c>
      <c r="AE30" s="446" t="s">
        <v>279</v>
      </c>
    </row>
    <row r="31" spans="2:34" x14ac:dyDescent="0.25">
      <c r="B31" s="4"/>
      <c r="C31" s="927"/>
      <c r="D31" s="271"/>
      <c r="E31" s="260" t="s">
        <v>156</v>
      </c>
      <c r="F31" s="259">
        <v>43643</v>
      </c>
      <c r="G31" s="259" t="s">
        <v>312</v>
      </c>
      <c r="H31" s="260" t="s">
        <v>157</v>
      </c>
      <c r="I31" s="260" t="s">
        <v>54</v>
      </c>
      <c r="J31" s="222" t="s">
        <v>14</v>
      </c>
      <c r="K31" s="247">
        <v>50.6</v>
      </c>
      <c r="L31" s="247" t="s">
        <v>280</v>
      </c>
      <c r="M31" s="9">
        <v>2170000</v>
      </c>
      <c r="N31" s="9">
        <f t="shared" si="4"/>
        <v>42885.375494071144</v>
      </c>
      <c r="O31" s="9">
        <v>2170000</v>
      </c>
      <c r="P31" s="582">
        <f t="shared" si="5"/>
        <v>0</v>
      </c>
      <c r="Q31" s="444"/>
      <c r="R31" s="9"/>
      <c r="S31" s="9"/>
      <c r="T31" s="9"/>
      <c r="U31" s="9"/>
      <c r="V31" s="9">
        <v>170000</v>
      </c>
      <c r="W31" s="9">
        <v>2000000</v>
      </c>
      <c r="X31" s="9"/>
      <c r="Y31" s="9"/>
      <c r="Z31" s="9"/>
      <c r="AA31" s="9"/>
      <c r="AB31" s="9"/>
      <c r="AC31" s="9"/>
      <c r="AD31" s="445">
        <f t="shared" si="0"/>
        <v>2170000</v>
      </c>
      <c r="AE31" s="446" t="s">
        <v>324</v>
      </c>
    </row>
    <row r="32" spans="2:34" x14ac:dyDescent="0.25">
      <c r="B32" s="4"/>
      <c r="C32" s="927"/>
      <c r="D32" s="271"/>
      <c r="E32" s="260" t="s">
        <v>158</v>
      </c>
      <c r="F32" s="259">
        <v>43644</v>
      </c>
      <c r="G32" s="259" t="s">
        <v>312</v>
      </c>
      <c r="H32" s="260" t="s">
        <v>159</v>
      </c>
      <c r="I32" s="260" t="s">
        <v>54</v>
      </c>
      <c r="J32" s="222" t="s">
        <v>6</v>
      </c>
      <c r="K32" s="247">
        <v>37.17</v>
      </c>
      <c r="L32" s="247" t="s">
        <v>280</v>
      </c>
      <c r="M32" s="9">
        <v>1410000</v>
      </c>
      <c r="N32" s="9">
        <f t="shared" si="4"/>
        <v>37933.817594834545</v>
      </c>
      <c r="O32" s="9">
        <v>1670496</v>
      </c>
      <c r="P32" s="582">
        <f t="shared" si="5"/>
        <v>-0.15593931383253837</v>
      </c>
      <c r="Q32" s="444"/>
      <c r="R32" s="9"/>
      <c r="S32" s="9"/>
      <c r="T32" s="9"/>
      <c r="U32" s="9"/>
      <c r="V32" s="9">
        <v>1410000</v>
      </c>
      <c r="W32" s="9"/>
      <c r="X32" s="9"/>
      <c r="Y32" s="9"/>
      <c r="Z32" s="9"/>
      <c r="AA32" s="9"/>
      <c r="AB32" s="9"/>
      <c r="AC32" s="9"/>
      <c r="AD32" s="445">
        <f t="shared" si="0"/>
        <v>1410000</v>
      </c>
      <c r="AE32" s="446" t="s">
        <v>382</v>
      </c>
    </row>
    <row r="33" spans="2:31" x14ac:dyDescent="0.25">
      <c r="B33" s="4"/>
      <c r="C33" s="927"/>
      <c r="D33" s="271"/>
      <c r="E33" s="260" t="s">
        <v>158</v>
      </c>
      <c r="F33" s="259">
        <v>43644</v>
      </c>
      <c r="G33" s="259" t="s">
        <v>312</v>
      </c>
      <c r="H33" s="260" t="s">
        <v>160</v>
      </c>
      <c r="I33" s="260" t="s">
        <v>54</v>
      </c>
      <c r="J33" s="222" t="s">
        <v>6</v>
      </c>
      <c r="K33" s="247">
        <v>37.17</v>
      </c>
      <c r="L33" s="247" t="s">
        <v>280</v>
      </c>
      <c r="M33" s="9">
        <v>1410000</v>
      </c>
      <c r="N33" s="9">
        <f t="shared" si="4"/>
        <v>37933.817594834545</v>
      </c>
      <c r="O33" s="9">
        <v>1670496</v>
      </c>
      <c r="P33" s="582">
        <f t="shared" si="5"/>
        <v>-0.15593931383253837</v>
      </c>
      <c r="Q33" s="444"/>
      <c r="R33" s="9"/>
      <c r="S33" s="9"/>
      <c r="T33" s="9"/>
      <c r="U33" s="9"/>
      <c r="V33" s="9">
        <v>1410000</v>
      </c>
      <c r="W33" s="9"/>
      <c r="X33" s="9"/>
      <c r="Y33" s="9"/>
      <c r="Z33" s="9"/>
      <c r="AA33" s="9"/>
      <c r="AB33" s="9"/>
      <c r="AC33" s="9"/>
      <c r="AD33" s="445">
        <f t="shared" si="0"/>
        <v>1410000</v>
      </c>
      <c r="AE33" s="446" t="s">
        <v>382</v>
      </c>
    </row>
    <row r="34" spans="2:31" ht="15.75" thickBot="1" x14ac:dyDescent="0.3">
      <c r="B34" s="4"/>
      <c r="C34" s="928"/>
      <c r="D34" s="271"/>
      <c r="E34" s="12" t="s">
        <v>158</v>
      </c>
      <c r="F34" s="261">
        <v>43644</v>
      </c>
      <c r="G34" s="261" t="s">
        <v>312</v>
      </c>
      <c r="H34" s="12" t="s">
        <v>161</v>
      </c>
      <c r="I34" s="12" t="s">
        <v>54</v>
      </c>
      <c r="J34" s="3" t="s">
        <v>6</v>
      </c>
      <c r="K34" s="248">
        <v>37.17</v>
      </c>
      <c r="L34" s="248" t="s">
        <v>280</v>
      </c>
      <c r="M34" s="249">
        <v>1410000</v>
      </c>
      <c r="N34" s="249">
        <f t="shared" si="4"/>
        <v>37933.817594834545</v>
      </c>
      <c r="O34" s="249">
        <v>1670496</v>
      </c>
      <c r="P34" s="583">
        <f t="shared" si="5"/>
        <v>-0.15593931383253837</v>
      </c>
      <c r="Q34" s="447"/>
      <c r="R34" s="249"/>
      <c r="S34" s="249"/>
      <c r="T34" s="249"/>
      <c r="U34" s="249"/>
      <c r="V34" s="249">
        <v>1410000</v>
      </c>
      <c r="W34" s="249"/>
      <c r="X34" s="249"/>
      <c r="Y34" s="249"/>
      <c r="Z34" s="249"/>
      <c r="AA34" s="249"/>
      <c r="AB34" s="249"/>
      <c r="AC34" s="249"/>
      <c r="AD34" s="448">
        <f t="shared" si="0"/>
        <v>1410000</v>
      </c>
      <c r="AE34" s="449" t="s">
        <v>382</v>
      </c>
    </row>
    <row r="35" spans="2:31" x14ac:dyDescent="0.25">
      <c r="B35" s="4"/>
      <c r="C35" s="870" t="s">
        <v>29</v>
      </c>
      <c r="D35" s="271"/>
      <c r="E35" s="263" t="s">
        <v>153</v>
      </c>
      <c r="F35" s="262">
        <v>43664</v>
      </c>
      <c r="G35" s="262" t="s">
        <v>312</v>
      </c>
      <c r="H35" s="263" t="s">
        <v>162</v>
      </c>
      <c r="I35" s="263" t="s">
        <v>54</v>
      </c>
      <c r="J35" s="264" t="s">
        <v>6</v>
      </c>
      <c r="K35" s="265">
        <v>40.86</v>
      </c>
      <c r="L35" s="265" t="s">
        <v>281</v>
      </c>
      <c r="M35" s="266">
        <v>1469614.8148148148</v>
      </c>
      <c r="N35" s="266">
        <f t="shared" si="4"/>
        <v>35967.07818930041</v>
      </c>
      <c r="O35" s="266">
        <v>1782905</v>
      </c>
      <c r="P35" s="584">
        <f t="shared" si="5"/>
        <v>-0.1757189447475806</v>
      </c>
      <c r="Q35" s="460"/>
      <c r="R35" s="266"/>
      <c r="S35" s="266"/>
      <c r="T35" s="266"/>
      <c r="U35" s="266"/>
      <c r="V35" s="266"/>
      <c r="W35" s="266">
        <v>306169.75308641978</v>
      </c>
      <c r="X35" s="266"/>
      <c r="Y35" s="266">
        <v>581722.53086419753</v>
      </c>
      <c r="Z35" s="266">
        <v>581722.53086419753</v>
      </c>
      <c r="AA35" s="266"/>
      <c r="AB35" s="266"/>
      <c r="AC35" s="266"/>
      <c r="AD35" s="461">
        <f t="shared" ref="AD35:AD66" si="6">SUM(Q35:AB35)</f>
        <v>1469614.8148148148</v>
      </c>
      <c r="AE35" s="462" t="s">
        <v>383</v>
      </c>
    </row>
    <row r="36" spans="2:31" x14ac:dyDescent="0.25">
      <c r="B36" s="4"/>
      <c r="C36" s="930"/>
      <c r="D36" s="268"/>
      <c r="E36" s="185" t="s">
        <v>153</v>
      </c>
      <c r="F36" s="241">
        <v>43664</v>
      </c>
      <c r="G36" s="241" t="s">
        <v>312</v>
      </c>
      <c r="H36" s="185" t="s">
        <v>163</v>
      </c>
      <c r="I36" s="185" t="s">
        <v>54</v>
      </c>
      <c r="J36" s="242" t="s">
        <v>6</v>
      </c>
      <c r="K36" s="243">
        <v>46.62</v>
      </c>
      <c r="L36" s="243" t="s">
        <v>281</v>
      </c>
      <c r="M36" s="187">
        <v>1676785.1851851854</v>
      </c>
      <c r="N36" s="187">
        <f t="shared" si="4"/>
        <v>35967.078189300417</v>
      </c>
      <c r="O36" s="187">
        <v>1937285</v>
      </c>
      <c r="P36" s="585">
        <f t="shared" si="5"/>
        <v>-0.13446643876085068</v>
      </c>
      <c r="Q36" s="453"/>
      <c r="R36" s="187"/>
      <c r="S36" s="187"/>
      <c r="T36" s="187"/>
      <c r="U36" s="187"/>
      <c r="V36" s="187"/>
      <c r="W36" s="187">
        <v>349330.24691358028</v>
      </c>
      <c r="X36" s="187"/>
      <c r="Y36" s="187">
        <v>663727.46913580259</v>
      </c>
      <c r="Z36" s="187">
        <v>663727.46913580259</v>
      </c>
      <c r="AA36" s="187"/>
      <c r="AB36" s="187"/>
      <c r="AC36" s="187"/>
      <c r="AD36" s="436">
        <f t="shared" si="6"/>
        <v>1676785.1851851856</v>
      </c>
      <c r="AE36" s="437" t="s">
        <v>383</v>
      </c>
    </row>
    <row r="37" spans="2:31" x14ac:dyDescent="0.25">
      <c r="B37" s="4"/>
      <c r="C37" s="930"/>
      <c r="D37" s="268"/>
      <c r="E37" s="182" t="s">
        <v>156</v>
      </c>
      <c r="F37" s="156">
        <v>43668</v>
      </c>
      <c r="G37" s="156" t="s">
        <v>312</v>
      </c>
      <c r="H37" s="155" t="s">
        <v>164</v>
      </c>
      <c r="I37" s="155" t="s">
        <v>54</v>
      </c>
      <c r="J37" s="155" t="s">
        <v>14</v>
      </c>
      <c r="K37" s="157">
        <v>63.09</v>
      </c>
      <c r="L37" s="157" t="s">
        <v>280</v>
      </c>
      <c r="M37" s="158">
        <v>2695458</v>
      </c>
      <c r="N37" s="158">
        <f t="shared" si="4"/>
        <v>42724.013314312884</v>
      </c>
      <c r="O37" s="158">
        <v>2695458</v>
      </c>
      <c r="P37" s="580">
        <f t="shared" si="5"/>
        <v>0</v>
      </c>
      <c r="Q37" s="452"/>
      <c r="R37" s="158"/>
      <c r="S37" s="158"/>
      <c r="T37" s="158"/>
      <c r="U37" s="158"/>
      <c r="V37" s="158"/>
      <c r="W37" s="158">
        <v>2695000</v>
      </c>
      <c r="X37" s="158"/>
      <c r="Y37" s="158"/>
      <c r="Z37" s="158"/>
      <c r="AA37" s="158"/>
      <c r="AB37" s="158"/>
      <c r="AC37" s="158"/>
      <c r="AD37" s="417">
        <f t="shared" si="6"/>
        <v>2695000</v>
      </c>
      <c r="AE37" s="421"/>
    </row>
    <row r="38" spans="2:31" x14ac:dyDescent="0.25">
      <c r="B38" s="4"/>
      <c r="C38" s="930"/>
      <c r="D38" s="268"/>
      <c r="E38" s="182" t="s">
        <v>165</v>
      </c>
      <c r="F38" s="156">
        <v>43662</v>
      </c>
      <c r="G38" s="156" t="s">
        <v>312</v>
      </c>
      <c r="H38" s="155" t="s">
        <v>166</v>
      </c>
      <c r="I38" s="155" t="s">
        <v>54</v>
      </c>
      <c r="J38" s="155" t="s">
        <v>14</v>
      </c>
      <c r="K38" s="157">
        <v>55.49</v>
      </c>
      <c r="L38" s="157" t="s">
        <v>280</v>
      </c>
      <c r="M38" s="158">
        <v>2372841.1800000002</v>
      </c>
      <c r="N38" s="158">
        <f t="shared" si="4"/>
        <v>42761.59992791494</v>
      </c>
      <c r="O38" s="158">
        <v>2579160</v>
      </c>
      <c r="P38" s="580">
        <f t="shared" si="5"/>
        <v>-7.9994579630577337E-2</v>
      </c>
      <c r="Q38" s="452"/>
      <c r="R38" s="158"/>
      <c r="S38" s="158"/>
      <c r="T38" s="158"/>
      <c r="U38" s="158"/>
      <c r="V38" s="158"/>
      <c r="W38" s="158">
        <f>+M38</f>
        <v>2372841.1800000002</v>
      </c>
      <c r="X38" s="158"/>
      <c r="Y38" s="158"/>
      <c r="Z38" s="158"/>
      <c r="AA38" s="158"/>
      <c r="AB38" s="158"/>
      <c r="AC38" s="158"/>
      <c r="AD38" s="417">
        <f t="shared" si="6"/>
        <v>2372841.1800000002</v>
      </c>
      <c r="AE38" s="421"/>
    </row>
    <row r="39" spans="2:31" x14ac:dyDescent="0.25">
      <c r="B39" s="4"/>
      <c r="C39" s="930"/>
      <c r="D39" s="268"/>
      <c r="E39" s="182" t="s">
        <v>165</v>
      </c>
      <c r="F39" s="156">
        <v>43662</v>
      </c>
      <c r="G39" s="156" t="s">
        <v>312</v>
      </c>
      <c r="H39" s="155" t="s">
        <v>82</v>
      </c>
      <c r="I39" s="155" t="s">
        <v>54</v>
      </c>
      <c r="J39" s="155" t="s">
        <v>14</v>
      </c>
      <c r="K39" s="157">
        <v>53.03</v>
      </c>
      <c r="L39" s="157" t="s">
        <v>280</v>
      </c>
      <c r="M39" s="158">
        <v>2233398.75</v>
      </c>
      <c r="N39" s="158">
        <f t="shared" si="4"/>
        <v>42115.759947199695</v>
      </c>
      <c r="O39" s="158">
        <v>2427617</v>
      </c>
      <c r="P39" s="580">
        <f t="shared" si="5"/>
        <v>-8.0003662027412062E-2</v>
      </c>
      <c r="Q39" s="452"/>
      <c r="R39" s="158"/>
      <c r="S39" s="158"/>
      <c r="T39" s="158"/>
      <c r="U39" s="158"/>
      <c r="V39" s="158"/>
      <c r="W39" s="158">
        <f>+M39</f>
        <v>2233398.75</v>
      </c>
      <c r="X39" s="158"/>
      <c r="Y39" s="158"/>
      <c r="Z39" s="158"/>
      <c r="AA39" s="158"/>
      <c r="AB39" s="158"/>
      <c r="AC39" s="158"/>
      <c r="AD39" s="417">
        <f t="shared" si="6"/>
        <v>2233398.75</v>
      </c>
      <c r="AE39" s="421"/>
    </row>
    <row r="40" spans="2:31" x14ac:dyDescent="0.25">
      <c r="B40" s="4"/>
      <c r="C40" s="930"/>
      <c r="D40" s="268"/>
      <c r="E40" s="182" t="s">
        <v>165</v>
      </c>
      <c r="F40" s="156">
        <v>43662</v>
      </c>
      <c r="G40" s="156" t="s">
        <v>312</v>
      </c>
      <c r="H40" s="155" t="s">
        <v>75</v>
      </c>
      <c r="I40" s="155" t="s">
        <v>54</v>
      </c>
      <c r="J40" s="155" t="s">
        <v>14</v>
      </c>
      <c r="K40" s="157">
        <v>55.49</v>
      </c>
      <c r="L40" s="157" t="s">
        <v>280</v>
      </c>
      <c r="M40" s="158">
        <v>2372841.1800000002</v>
      </c>
      <c r="N40" s="158">
        <f t="shared" si="4"/>
        <v>42761.59992791494</v>
      </c>
      <c r="O40" s="158">
        <v>2579160</v>
      </c>
      <c r="P40" s="580">
        <f t="shared" si="5"/>
        <v>-7.9994579630577337E-2</v>
      </c>
      <c r="Q40" s="452"/>
      <c r="R40" s="158"/>
      <c r="S40" s="158"/>
      <c r="T40" s="158"/>
      <c r="U40" s="158"/>
      <c r="V40" s="158"/>
      <c r="W40" s="158">
        <f>+M40</f>
        <v>2372841.1800000002</v>
      </c>
      <c r="X40" s="158"/>
      <c r="Y40" s="158"/>
      <c r="Z40" s="158"/>
      <c r="AA40" s="158"/>
      <c r="AB40" s="158"/>
      <c r="AC40" s="158"/>
      <c r="AD40" s="417">
        <f t="shared" si="6"/>
        <v>2372841.1800000002</v>
      </c>
      <c r="AE40" s="421"/>
    </row>
    <row r="41" spans="2:31" x14ac:dyDescent="0.25">
      <c r="B41" s="4"/>
      <c r="C41" s="930"/>
      <c r="D41" s="268"/>
      <c r="E41" s="185" t="s">
        <v>167</v>
      </c>
      <c r="F41" s="269">
        <v>43665</v>
      </c>
      <c r="G41" s="269" t="s">
        <v>60</v>
      </c>
      <c r="H41" s="242" t="s">
        <v>388</v>
      </c>
      <c r="I41" s="242" t="s">
        <v>54</v>
      </c>
      <c r="J41" s="242" t="s">
        <v>4</v>
      </c>
      <c r="K41" s="243">
        <v>47.77</v>
      </c>
      <c r="L41" s="243" t="s">
        <v>280</v>
      </c>
      <c r="M41" s="187">
        <v>2123347</v>
      </c>
      <c r="N41" s="187">
        <f t="shared" si="4"/>
        <v>44449.382457609376</v>
      </c>
      <c r="O41" s="187">
        <v>2191543</v>
      </c>
      <c r="P41" s="585">
        <f t="shared" si="5"/>
        <v>-3.1117801475946401E-2</v>
      </c>
      <c r="Q41" s="453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417">
        <f>SUM(Q41:AB41)</f>
        <v>0</v>
      </c>
      <c r="AE41" s="437" t="s">
        <v>314</v>
      </c>
    </row>
    <row r="42" spans="2:31" ht="15.75" thickBot="1" x14ac:dyDescent="0.3">
      <c r="B42" s="4"/>
      <c r="C42" s="931"/>
      <c r="D42" s="268"/>
      <c r="E42" s="185" t="s">
        <v>168</v>
      </c>
      <c r="F42" s="269">
        <v>43669</v>
      </c>
      <c r="G42" s="269" t="s">
        <v>312</v>
      </c>
      <c r="H42" s="242" t="s">
        <v>169</v>
      </c>
      <c r="I42" s="242" t="s">
        <v>54</v>
      </c>
      <c r="J42" s="242" t="s">
        <v>6</v>
      </c>
      <c r="K42" s="243">
        <v>40.86</v>
      </c>
      <c r="L42" s="243" t="s">
        <v>281</v>
      </c>
      <c r="M42" s="187">
        <v>1954691</v>
      </c>
      <c r="N42" s="187">
        <f t="shared" si="4"/>
        <v>47838.742046010768</v>
      </c>
      <c r="O42" s="187">
        <v>1782905</v>
      </c>
      <c r="P42" s="585">
        <f t="shared" si="5"/>
        <v>9.6351740558246232E-2</v>
      </c>
      <c r="Q42" s="453"/>
      <c r="R42" s="187"/>
      <c r="S42" s="187"/>
      <c r="T42" s="187"/>
      <c r="U42" s="187"/>
      <c r="V42" s="187"/>
      <c r="W42" s="187">
        <v>10000</v>
      </c>
      <c r="X42" s="187">
        <v>750000</v>
      </c>
      <c r="Y42" s="187"/>
      <c r="Z42" s="187"/>
      <c r="AA42" s="187"/>
      <c r="AB42" s="187"/>
      <c r="AC42" s="187"/>
      <c r="AD42" s="436">
        <f t="shared" si="6"/>
        <v>760000</v>
      </c>
      <c r="AE42" s="437" t="s">
        <v>325</v>
      </c>
    </row>
    <row r="43" spans="2:31" x14ac:dyDescent="0.25">
      <c r="B43" s="4"/>
      <c r="C43" s="870" t="s">
        <v>30</v>
      </c>
      <c r="D43" s="271" t="s">
        <v>43</v>
      </c>
      <c r="E43" s="624" t="s">
        <v>170</v>
      </c>
      <c r="F43" s="270">
        <v>43678</v>
      </c>
      <c r="G43" s="270" t="s">
        <v>312</v>
      </c>
      <c r="H43" s="220" t="s">
        <v>171</v>
      </c>
      <c r="I43" s="220" t="s">
        <v>54</v>
      </c>
      <c r="J43" s="220" t="s">
        <v>6</v>
      </c>
      <c r="K43" s="257">
        <v>40.86</v>
      </c>
      <c r="L43" s="257" t="s">
        <v>280</v>
      </c>
      <c r="M43" s="258">
        <f>34000*46</f>
        <v>1564000</v>
      </c>
      <c r="N43" s="258">
        <f>+M43/K43</f>
        <v>38277.043563387175</v>
      </c>
      <c r="O43" s="258">
        <v>1861022</v>
      </c>
      <c r="P43" s="581">
        <f t="shared" si="5"/>
        <v>-0.15960155226536818</v>
      </c>
      <c r="Q43" s="441"/>
      <c r="R43" s="258"/>
      <c r="S43" s="258"/>
      <c r="T43" s="258"/>
      <c r="U43" s="258"/>
      <c r="V43" s="258"/>
      <c r="W43" s="258"/>
      <c r="X43" s="258">
        <f>+M43</f>
        <v>1564000</v>
      </c>
      <c r="Y43" s="258"/>
      <c r="Z43" s="258"/>
      <c r="AA43" s="258"/>
      <c r="AB43" s="258"/>
      <c r="AC43" s="258"/>
      <c r="AD43" s="442">
        <f t="shared" si="6"/>
        <v>1564000</v>
      </c>
      <c r="AE43" s="443" t="s">
        <v>384</v>
      </c>
    </row>
    <row r="44" spans="2:31" x14ac:dyDescent="0.25">
      <c r="B44" s="4"/>
      <c r="C44" s="871"/>
      <c r="D44" s="271" t="s">
        <v>43</v>
      </c>
      <c r="E44" s="625" t="s">
        <v>170</v>
      </c>
      <c r="F44" s="272">
        <v>43678</v>
      </c>
      <c r="G44" s="272" t="s">
        <v>312</v>
      </c>
      <c r="H44" s="222" t="s">
        <v>172</v>
      </c>
      <c r="I44" s="222" t="s">
        <v>54</v>
      </c>
      <c r="J44" s="222" t="s">
        <v>6</v>
      </c>
      <c r="K44" s="247">
        <v>40.44</v>
      </c>
      <c r="L44" s="247" t="s">
        <v>280</v>
      </c>
      <c r="M44" s="9">
        <f>34000*46</f>
        <v>1564000</v>
      </c>
      <c r="N44" s="9">
        <f>+M44/K44</f>
        <v>38674.579624134523</v>
      </c>
      <c r="O44" s="9">
        <v>1841892</v>
      </c>
      <c r="P44" s="582">
        <f t="shared" si="5"/>
        <v>-0.1508731239399487</v>
      </c>
      <c r="Q44" s="444"/>
      <c r="R44" s="9"/>
      <c r="S44" s="9"/>
      <c r="T44" s="9"/>
      <c r="U44" s="9"/>
      <c r="V44" s="9"/>
      <c r="W44" s="9"/>
      <c r="X44" s="9">
        <f>+M44</f>
        <v>1564000</v>
      </c>
      <c r="Y44" s="9"/>
      <c r="Z44" s="9"/>
      <c r="AA44" s="9"/>
      <c r="AB44" s="9"/>
      <c r="AC44" s="9"/>
      <c r="AD44" s="445">
        <f t="shared" si="6"/>
        <v>1564000</v>
      </c>
      <c r="AE44" s="446" t="s">
        <v>384</v>
      </c>
    </row>
    <row r="45" spans="2:31" x14ac:dyDescent="0.25">
      <c r="B45" s="4"/>
      <c r="C45" s="871"/>
      <c r="D45" s="271" t="s">
        <v>43</v>
      </c>
      <c r="E45" s="625" t="s">
        <v>170</v>
      </c>
      <c r="F45" s="272">
        <v>43678</v>
      </c>
      <c r="G45" s="272" t="s">
        <v>312</v>
      </c>
      <c r="H45" s="222" t="s">
        <v>173</v>
      </c>
      <c r="I45" s="222" t="s">
        <v>54</v>
      </c>
      <c r="J45" s="222" t="s">
        <v>6</v>
      </c>
      <c r="K45" s="247">
        <v>40.44</v>
      </c>
      <c r="L45" s="247" t="s">
        <v>280</v>
      </c>
      <c r="M45" s="9">
        <f>34000*46</f>
        <v>1564000</v>
      </c>
      <c r="N45" s="9">
        <f>+M45/K45</f>
        <v>38674.579624134523</v>
      </c>
      <c r="O45" s="9">
        <v>1841892</v>
      </c>
      <c r="P45" s="582">
        <f t="shared" si="5"/>
        <v>-0.1508731239399487</v>
      </c>
      <c r="Q45" s="444"/>
      <c r="R45" s="9"/>
      <c r="S45" s="9"/>
      <c r="T45" s="9"/>
      <c r="U45" s="9"/>
      <c r="V45" s="9"/>
      <c r="W45" s="9"/>
      <c r="X45" s="9">
        <f>+M45</f>
        <v>1564000</v>
      </c>
      <c r="Y45" s="9"/>
      <c r="Z45" s="9"/>
      <c r="AA45" s="9"/>
      <c r="AB45" s="9"/>
      <c r="AC45" s="9"/>
      <c r="AD45" s="445">
        <f t="shared" si="6"/>
        <v>1564000</v>
      </c>
      <c r="AE45" s="446" t="s">
        <v>384</v>
      </c>
    </row>
    <row r="46" spans="2:31" x14ac:dyDescent="0.25">
      <c r="B46" s="4"/>
      <c r="C46" s="871"/>
      <c r="D46" s="271" t="s">
        <v>43</v>
      </c>
      <c r="E46" s="625" t="s">
        <v>174</v>
      </c>
      <c r="F46" s="272">
        <v>43690</v>
      </c>
      <c r="G46" s="272" t="s">
        <v>312</v>
      </c>
      <c r="H46" s="222" t="s">
        <v>175</v>
      </c>
      <c r="I46" s="222" t="s">
        <v>54</v>
      </c>
      <c r="J46" s="222" t="s">
        <v>4</v>
      </c>
      <c r="K46" s="247">
        <v>56.54</v>
      </c>
      <c r="L46" s="247" t="s">
        <v>280</v>
      </c>
      <c r="M46" s="9">
        <v>2350000</v>
      </c>
      <c r="N46" s="9">
        <f>+M46/K46</f>
        <v>41563.494870887866</v>
      </c>
      <c r="O46" s="9">
        <v>2350000</v>
      </c>
      <c r="P46" s="582">
        <f t="shared" si="5"/>
        <v>0</v>
      </c>
      <c r="Q46" s="444"/>
      <c r="R46" s="9"/>
      <c r="S46" s="9"/>
      <c r="T46" s="9"/>
      <c r="U46" s="9"/>
      <c r="V46" s="9"/>
      <c r="W46" s="9"/>
      <c r="X46" s="9">
        <v>2350000</v>
      </c>
      <c r="Y46" s="9"/>
      <c r="Z46" s="9"/>
      <c r="AA46" s="9"/>
      <c r="AB46" s="9"/>
      <c r="AC46" s="9"/>
      <c r="AD46" s="445">
        <f t="shared" si="6"/>
        <v>2350000</v>
      </c>
      <c r="AE46" s="446" t="s">
        <v>326</v>
      </c>
    </row>
    <row r="47" spans="2:31" x14ac:dyDescent="0.25">
      <c r="B47" s="4"/>
      <c r="C47" s="871"/>
      <c r="D47" s="271" t="s">
        <v>43</v>
      </c>
      <c r="E47" s="625" t="s">
        <v>176</v>
      </c>
      <c r="F47" s="272">
        <v>43697</v>
      </c>
      <c r="G47" s="272" t="s">
        <v>375</v>
      </c>
      <c r="H47" s="222" t="s">
        <v>177</v>
      </c>
      <c r="I47" s="222" t="s">
        <v>54</v>
      </c>
      <c r="J47" s="222" t="s">
        <v>6</v>
      </c>
      <c r="K47" s="247">
        <v>46.62</v>
      </c>
      <c r="L47" s="247" t="s">
        <v>280</v>
      </c>
      <c r="M47" s="9">
        <v>1678320</v>
      </c>
      <c r="N47" s="9">
        <f t="shared" si="4"/>
        <v>36000</v>
      </c>
      <c r="O47" s="9">
        <v>2024029</v>
      </c>
      <c r="P47" s="582">
        <f t="shared" si="5"/>
        <v>-0.17080239462972122</v>
      </c>
      <c r="Q47" s="444"/>
      <c r="R47" s="9"/>
      <c r="S47" s="9"/>
      <c r="T47" s="9"/>
      <c r="U47" s="9"/>
      <c r="V47" s="9"/>
      <c r="W47" s="9"/>
      <c r="X47" s="9">
        <f>+$M$47/5</f>
        <v>335664</v>
      </c>
      <c r="Y47" s="9">
        <f>+$M$47/5</f>
        <v>335664</v>
      </c>
      <c r="Z47" s="9">
        <f>+$M$47/5</f>
        <v>335664</v>
      </c>
      <c r="AA47" s="9">
        <f>+$M$47/5</f>
        <v>335664</v>
      </c>
      <c r="AB47" s="9">
        <f>+$M$47/5</f>
        <v>335664</v>
      </c>
      <c r="AC47" s="9"/>
      <c r="AD47" s="445">
        <f t="shared" si="6"/>
        <v>1678320</v>
      </c>
      <c r="AE47" s="446" t="s">
        <v>385</v>
      </c>
    </row>
    <row r="48" spans="2:31" x14ac:dyDescent="0.25">
      <c r="B48" s="4"/>
      <c r="C48" s="871"/>
      <c r="D48" s="271" t="s">
        <v>43</v>
      </c>
      <c r="E48" s="625" t="s">
        <v>176</v>
      </c>
      <c r="F48" s="272">
        <v>43697</v>
      </c>
      <c r="G48" s="272" t="s">
        <v>375</v>
      </c>
      <c r="H48" s="222" t="s">
        <v>178</v>
      </c>
      <c r="I48" s="222" t="s">
        <v>54</v>
      </c>
      <c r="J48" s="222" t="s">
        <v>6</v>
      </c>
      <c r="K48" s="247">
        <v>46.62</v>
      </c>
      <c r="L48" s="247" t="s">
        <v>280</v>
      </c>
      <c r="M48" s="9">
        <v>1678320</v>
      </c>
      <c r="N48" s="9">
        <f t="shared" si="4"/>
        <v>36000</v>
      </c>
      <c r="O48" s="9">
        <v>2064509</v>
      </c>
      <c r="P48" s="582">
        <f t="shared" si="5"/>
        <v>-0.18706094281981817</v>
      </c>
      <c r="Q48" s="444"/>
      <c r="R48" s="9"/>
      <c r="S48" s="9"/>
      <c r="T48" s="9"/>
      <c r="U48" s="9"/>
      <c r="V48" s="9"/>
      <c r="W48" s="9"/>
      <c r="X48" s="9">
        <f>+$M$48/5</f>
        <v>335664</v>
      </c>
      <c r="Y48" s="9">
        <f>+$M$48/5</f>
        <v>335664</v>
      </c>
      <c r="Z48" s="9">
        <f>+$M$48/5</f>
        <v>335664</v>
      </c>
      <c r="AA48" s="9">
        <f>+$M$48/5</f>
        <v>335664</v>
      </c>
      <c r="AB48" s="9">
        <f>+$M$48/5</f>
        <v>335664</v>
      </c>
      <c r="AC48" s="9"/>
      <c r="AD48" s="445">
        <f t="shared" si="6"/>
        <v>1678320</v>
      </c>
      <c r="AE48" s="446" t="s">
        <v>385</v>
      </c>
    </row>
    <row r="49" spans="2:31" x14ac:dyDescent="0.25">
      <c r="B49" s="4"/>
      <c r="C49" s="871"/>
      <c r="D49" s="271" t="s">
        <v>43</v>
      </c>
      <c r="E49" s="625" t="s">
        <v>176</v>
      </c>
      <c r="F49" s="272">
        <v>43697</v>
      </c>
      <c r="G49" s="272" t="s">
        <v>375</v>
      </c>
      <c r="H49" s="222" t="s">
        <v>179</v>
      </c>
      <c r="I49" s="222" t="s">
        <v>54</v>
      </c>
      <c r="J49" s="222" t="s">
        <v>6</v>
      </c>
      <c r="K49" s="247">
        <v>47.67</v>
      </c>
      <c r="L49" s="247" t="s">
        <v>280</v>
      </c>
      <c r="M49" s="9">
        <v>1716120</v>
      </c>
      <c r="N49" s="9">
        <f t="shared" si="4"/>
        <v>36000</v>
      </c>
      <c r="O49" s="9">
        <v>2111007</v>
      </c>
      <c r="P49" s="582">
        <f t="shared" si="5"/>
        <v>-0.18706096190112112</v>
      </c>
      <c r="Q49" s="444"/>
      <c r="R49" s="9"/>
      <c r="S49" s="9"/>
      <c r="T49" s="9"/>
      <c r="U49" s="9"/>
      <c r="V49" s="9"/>
      <c r="W49" s="9"/>
      <c r="X49" s="9">
        <f>+$M$49/5</f>
        <v>343224</v>
      </c>
      <c r="Y49" s="9">
        <f>+$M$49/5</f>
        <v>343224</v>
      </c>
      <c r="Z49" s="9">
        <f>+$M$49/5</f>
        <v>343224</v>
      </c>
      <c r="AA49" s="9">
        <f>+$M$49/5</f>
        <v>343224</v>
      </c>
      <c r="AB49" s="9">
        <f>+$M$49/5</f>
        <v>343224</v>
      </c>
      <c r="AC49" s="9"/>
      <c r="AD49" s="445">
        <f t="shared" si="6"/>
        <v>1716120</v>
      </c>
      <c r="AE49" s="446" t="s">
        <v>385</v>
      </c>
    </row>
    <row r="50" spans="2:31" x14ac:dyDescent="0.25">
      <c r="B50" s="4"/>
      <c r="C50" s="871"/>
      <c r="D50" s="271" t="s">
        <v>43</v>
      </c>
      <c r="E50" s="625" t="s">
        <v>176</v>
      </c>
      <c r="F50" s="272">
        <v>43697</v>
      </c>
      <c r="G50" s="272" t="s">
        <v>375</v>
      </c>
      <c r="H50" s="223" t="s">
        <v>180</v>
      </c>
      <c r="I50" s="223" t="s">
        <v>54</v>
      </c>
      <c r="J50" s="222" t="s">
        <v>6</v>
      </c>
      <c r="K50" s="247">
        <v>47.67</v>
      </c>
      <c r="L50" s="247" t="s">
        <v>280</v>
      </c>
      <c r="M50" s="9">
        <v>1716120</v>
      </c>
      <c r="N50" s="9">
        <f t="shared" si="4"/>
        <v>36000</v>
      </c>
      <c r="O50" s="9">
        <v>2111007</v>
      </c>
      <c r="P50" s="582">
        <f t="shared" si="5"/>
        <v>-0.18706096190112112</v>
      </c>
      <c r="Q50" s="444"/>
      <c r="R50" s="9"/>
      <c r="S50" s="9"/>
      <c r="T50" s="9"/>
      <c r="U50" s="9"/>
      <c r="V50" s="9"/>
      <c r="W50" s="9"/>
      <c r="X50" s="9">
        <f>+$M$50/5</f>
        <v>343224</v>
      </c>
      <c r="Y50" s="9">
        <f>+$M$50/5</f>
        <v>343224</v>
      </c>
      <c r="Z50" s="9">
        <f>+$M$50/5</f>
        <v>343224</v>
      </c>
      <c r="AA50" s="9">
        <f>+$M$50/5</f>
        <v>343224</v>
      </c>
      <c r="AB50" s="9">
        <f>+$M$50/5</f>
        <v>343224</v>
      </c>
      <c r="AC50" s="9"/>
      <c r="AD50" s="445">
        <f t="shared" si="6"/>
        <v>1716120</v>
      </c>
      <c r="AE50" s="446" t="s">
        <v>385</v>
      </c>
    </row>
    <row r="51" spans="2:31" x14ac:dyDescent="0.25">
      <c r="B51" s="4"/>
      <c r="C51" s="871"/>
      <c r="D51" s="271" t="s">
        <v>43</v>
      </c>
      <c r="E51" s="626" t="s">
        <v>181</v>
      </c>
      <c r="F51" s="18">
        <v>43697</v>
      </c>
      <c r="G51" s="18" t="s">
        <v>312</v>
      </c>
      <c r="H51" s="33" t="s">
        <v>182</v>
      </c>
      <c r="I51" s="33" t="s">
        <v>54</v>
      </c>
      <c r="J51" s="19" t="s">
        <v>4</v>
      </c>
      <c r="K51" s="20">
        <v>47.77</v>
      </c>
      <c r="L51" s="20" t="s">
        <v>281</v>
      </c>
      <c r="M51" s="21">
        <v>2985180</v>
      </c>
      <c r="N51" s="9">
        <f t="shared" si="4"/>
        <v>62490.684530039769</v>
      </c>
      <c r="O51" s="21">
        <v>2123171</v>
      </c>
      <c r="P51" s="586">
        <f t="shared" si="5"/>
        <v>0.40600074134396147</v>
      </c>
      <c r="Q51" s="457"/>
      <c r="R51" s="21"/>
      <c r="S51" s="21"/>
      <c r="T51" s="21"/>
      <c r="U51" s="21"/>
      <c r="V51" s="21"/>
      <c r="W51" s="21"/>
      <c r="X51" s="21">
        <v>40000</v>
      </c>
      <c r="Y51" s="21">
        <f>300000-40000</f>
        <v>260000</v>
      </c>
      <c r="Z51" s="21"/>
      <c r="AA51" s="21"/>
      <c r="AB51" s="21"/>
      <c r="AC51" s="21"/>
      <c r="AD51" s="445">
        <f t="shared" si="6"/>
        <v>300000</v>
      </c>
      <c r="AE51" s="458" t="s">
        <v>327</v>
      </c>
    </row>
    <row r="52" spans="2:31" x14ac:dyDescent="0.25">
      <c r="B52" s="4"/>
      <c r="C52" s="871"/>
      <c r="D52" s="271" t="s">
        <v>43</v>
      </c>
      <c r="E52" s="626" t="s">
        <v>183</v>
      </c>
      <c r="F52" s="18">
        <v>43698</v>
      </c>
      <c r="G52" s="18" t="s">
        <v>312</v>
      </c>
      <c r="H52" s="33" t="s">
        <v>184</v>
      </c>
      <c r="I52" s="33" t="s">
        <v>54</v>
      </c>
      <c r="J52" s="19" t="s">
        <v>4</v>
      </c>
      <c r="K52" s="20">
        <v>44.35</v>
      </c>
      <c r="L52" s="20" t="s">
        <v>280</v>
      </c>
      <c r="M52" s="21">
        <v>2122329</v>
      </c>
      <c r="N52" s="21">
        <f t="shared" si="4"/>
        <v>47854.092446448703</v>
      </c>
      <c r="O52" s="21">
        <v>2030457</v>
      </c>
      <c r="P52" s="586">
        <f t="shared" si="5"/>
        <v>4.5246956719595638E-2</v>
      </c>
      <c r="Q52" s="457"/>
      <c r="R52" s="21"/>
      <c r="S52" s="21"/>
      <c r="T52" s="21"/>
      <c r="U52" s="21"/>
      <c r="V52" s="21"/>
      <c r="W52" s="21"/>
      <c r="X52" s="21">
        <v>20000</v>
      </c>
      <c r="Y52" s="21"/>
      <c r="Z52" s="21">
        <v>2102329</v>
      </c>
      <c r="AA52" s="21"/>
      <c r="AB52" s="21"/>
      <c r="AC52" s="21"/>
      <c r="AD52" s="445">
        <f t="shared" si="6"/>
        <v>2122329</v>
      </c>
      <c r="AE52" s="458" t="s">
        <v>328</v>
      </c>
    </row>
    <row r="53" spans="2:31" x14ac:dyDescent="0.25">
      <c r="B53" s="4"/>
      <c r="C53" s="871"/>
      <c r="D53" s="271" t="s">
        <v>43</v>
      </c>
      <c r="E53" s="626" t="s">
        <v>183</v>
      </c>
      <c r="F53" s="18">
        <v>43698</v>
      </c>
      <c r="G53" s="18" t="s">
        <v>312</v>
      </c>
      <c r="H53" s="33" t="s">
        <v>185</v>
      </c>
      <c r="I53" s="33" t="s">
        <v>54</v>
      </c>
      <c r="J53" s="19" t="s">
        <v>4</v>
      </c>
      <c r="K53" s="20">
        <v>47.77</v>
      </c>
      <c r="L53" s="20" t="s">
        <v>280</v>
      </c>
      <c r="M53" s="21">
        <v>2219588</v>
      </c>
      <c r="N53" s="21">
        <f t="shared" si="4"/>
        <v>46464.056939501774</v>
      </c>
      <c r="O53" s="21">
        <v>2123369</v>
      </c>
      <c r="P53" s="586">
        <f t="shared" si="5"/>
        <v>4.5314309477062158E-2</v>
      </c>
      <c r="Q53" s="457"/>
      <c r="R53" s="21"/>
      <c r="S53" s="21"/>
      <c r="T53" s="21"/>
      <c r="U53" s="21"/>
      <c r="V53" s="21"/>
      <c r="W53" s="21"/>
      <c r="X53" s="21">
        <v>20000</v>
      </c>
      <c r="Y53" s="21"/>
      <c r="Z53" s="21">
        <v>2199588</v>
      </c>
      <c r="AA53" s="21"/>
      <c r="AB53" s="21"/>
      <c r="AC53" s="21"/>
      <c r="AD53" s="445">
        <f t="shared" si="6"/>
        <v>2219588</v>
      </c>
      <c r="AE53" s="458" t="s">
        <v>328</v>
      </c>
    </row>
    <row r="54" spans="2:31" x14ac:dyDescent="0.25">
      <c r="B54" s="4"/>
      <c r="C54" s="871"/>
      <c r="D54" s="271" t="s">
        <v>43</v>
      </c>
      <c r="E54" s="626" t="s">
        <v>186</v>
      </c>
      <c r="F54" s="18">
        <v>43705</v>
      </c>
      <c r="G54" s="18" t="s">
        <v>312</v>
      </c>
      <c r="H54" s="33" t="s">
        <v>187</v>
      </c>
      <c r="I54" s="33" t="s">
        <v>54</v>
      </c>
      <c r="J54" s="19" t="s">
        <v>6</v>
      </c>
      <c r="K54" s="20">
        <v>35.700000000000003</v>
      </c>
      <c r="L54" s="20" t="s">
        <v>280</v>
      </c>
      <c r="M54" s="21">
        <f>4950000*0.98/3</f>
        <v>1617000</v>
      </c>
      <c r="N54" s="21">
        <f>+M54/K54</f>
        <v>45294.117647058818</v>
      </c>
      <c r="O54" s="21">
        <v>1674728.0550000002</v>
      </c>
      <c r="P54" s="586">
        <f t="shared" si="5"/>
        <v>-3.4470106849676059E-2</v>
      </c>
      <c r="Q54" s="457"/>
      <c r="R54" s="21"/>
      <c r="S54" s="21"/>
      <c r="T54" s="21"/>
      <c r="U54" s="21"/>
      <c r="V54" s="21"/>
      <c r="W54" s="21"/>
      <c r="X54" s="21">
        <f>+M54</f>
        <v>1617000</v>
      </c>
      <c r="Y54" s="21"/>
      <c r="Z54" s="21"/>
      <c r="AA54" s="21"/>
      <c r="AB54" s="21"/>
      <c r="AC54" s="21"/>
      <c r="AD54" s="445">
        <f t="shared" si="6"/>
        <v>1617000</v>
      </c>
      <c r="AE54" s="458" t="s">
        <v>329</v>
      </c>
    </row>
    <row r="55" spans="2:31" x14ac:dyDescent="0.25">
      <c r="B55" s="4"/>
      <c r="C55" s="871"/>
      <c r="D55" s="271" t="s">
        <v>43</v>
      </c>
      <c r="E55" s="626" t="s">
        <v>186</v>
      </c>
      <c r="F55" s="18">
        <v>43705</v>
      </c>
      <c r="G55" s="18" t="s">
        <v>312</v>
      </c>
      <c r="H55" s="33" t="s">
        <v>188</v>
      </c>
      <c r="I55" s="33" t="s">
        <v>54</v>
      </c>
      <c r="J55" s="19" t="s">
        <v>6</v>
      </c>
      <c r="K55" s="20">
        <v>35.700000000000003</v>
      </c>
      <c r="L55" s="20" t="s">
        <v>280</v>
      </c>
      <c r="M55" s="21">
        <f>4950000*0.98/3</f>
        <v>1617000</v>
      </c>
      <c r="N55" s="21">
        <f>+M55/K55</f>
        <v>45294.117647058818</v>
      </c>
      <c r="O55" s="21">
        <v>1674728.0550000002</v>
      </c>
      <c r="P55" s="586">
        <f t="shared" si="5"/>
        <v>-3.4470106849676059E-2</v>
      </c>
      <c r="Q55" s="457"/>
      <c r="R55" s="21"/>
      <c r="S55" s="21"/>
      <c r="T55" s="21"/>
      <c r="U55" s="21"/>
      <c r="V55" s="21"/>
      <c r="W55" s="21"/>
      <c r="X55" s="21">
        <f>+M55</f>
        <v>1617000</v>
      </c>
      <c r="Y55" s="21"/>
      <c r="Z55" s="21"/>
      <c r="AA55" s="21"/>
      <c r="AB55" s="21"/>
      <c r="AC55" s="21"/>
      <c r="AD55" s="445">
        <f t="shared" si="6"/>
        <v>1617000</v>
      </c>
      <c r="AE55" s="458"/>
    </row>
    <row r="56" spans="2:31" x14ac:dyDescent="0.25">
      <c r="B56" s="4"/>
      <c r="C56" s="871"/>
      <c r="D56" s="271" t="s">
        <v>43</v>
      </c>
      <c r="E56" s="626" t="s">
        <v>186</v>
      </c>
      <c r="F56" s="18">
        <v>43705</v>
      </c>
      <c r="G56" s="18" t="s">
        <v>312</v>
      </c>
      <c r="H56" s="33" t="s">
        <v>189</v>
      </c>
      <c r="I56" s="33" t="s">
        <v>54</v>
      </c>
      <c r="J56" s="19" t="s">
        <v>6</v>
      </c>
      <c r="K56" s="20">
        <v>35.700000000000003</v>
      </c>
      <c r="L56" s="20" t="s">
        <v>280</v>
      </c>
      <c r="M56" s="21">
        <f>4950000*0.98/3</f>
        <v>1617000</v>
      </c>
      <c r="N56" s="21">
        <f>+M56/K56</f>
        <v>45294.117647058818</v>
      </c>
      <c r="O56" s="21">
        <v>1674728.0549999999</v>
      </c>
      <c r="P56" s="586">
        <f t="shared" si="5"/>
        <v>-3.447010684967592E-2</v>
      </c>
      <c r="Q56" s="457"/>
      <c r="R56" s="21"/>
      <c r="S56" s="21"/>
      <c r="T56" s="21"/>
      <c r="U56" s="21"/>
      <c r="V56" s="21"/>
      <c r="W56" s="21"/>
      <c r="X56" s="21">
        <f>+M56</f>
        <v>1617000</v>
      </c>
      <c r="Y56" s="21"/>
      <c r="Z56" s="21"/>
      <c r="AA56" s="21"/>
      <c r="AB56" s="21"/>
      <c r="AC56" s="21"/>
      <c r="AD56" s="445">
        <f t="shared" si="6"/>
        <v>1617000</v>
      </c>
      <c r="AE56" s="458"/>
    </row>
    <row r="57" spans="2:31" x14ac:dyDescent="0.25">
      <c r="B57" s="4"/>
      <c r="C57" s="871"/>
      <c r="D57" s="271" t="s">
        <v>43</v>
      </c>
      <c r="E57" s="626" t="s">
        <v>190</v>
      </c>
      <c r="F57" s="18">
        <v>43707</v>
      </c>
      <c r="G57" s="18" t="s">
        <v>312</v>
      </c>
      <c r="H57" s="33" t="s">
        <v>191</v>
      </c>
      <c r="I57" s="33" t="s">
        <v>54</v>
      </c>
      <c r="J57" s="19" t="s">
        <v>6</v>
      </c>
      <c r="K57" s="20">
        <v>46.62</v>
      </c>
      <c r="L57" s="20" t="s">
        <v>280</v>
      </c>
      <c r="M57" s="21">
        <v>2122000</v>
      </c>
      <c r="N57" s="21">
        <f>+M57/K57</f>
        <v>45516.945516945518</v>
      </c>
      <c r="O57" s="21">
        <v>2022166</v>
      </c>
      <c r="P57" s="586">
        <f t="shared" si="5"/>
        <v>4.9369834128355439E-2</v>
      </c>
      <c r="Q57" s="457"/>
      <c r="R57" s="21"/>
      <c r="S57" s="21"/>
      <c r="T57" s="21"/>
      <c r="U57" s="21"/>
      <c r="V57" s="21"/>
      <c r="W57" s="21"/>
      <c r="X57" s="21">
        <v>122000</v>
      </c>
      <c r="Y57" s="21">
        <f>+M57-X57</f>
        <v>2000000</v>
      </c>
      <c r="Z57" s="21"/>
      <c r="AA57" s="21"/>
      <c r="AB57" s="21"/>
      <c r="AC57" s="21"/>
      <c r="AD57" s="445">
        <f t="shared" si="6"/>
        <v>2122000</v>
      </c>
      <c r="AE57" s="458" t="s">
        <v>386</v>
      </c>
    </row>
    <row r="58" spans="2:31" ht="15.75" thickBot="1" x14ac:dyDescent="0.3">
      <c r="B58" s="4"/>
      <c r="C58" s="871"/>
      <c r="D58" s="271" t="s">
        <v>43</v>
      </c>
      <c r="E58" s="555" t="s">
        <v>190</v>
      </c>
      <c r="F58" s="627">
        <v>43707</v>
      </c>
      <c r="G58" s="627" t="s">
        <v>312</v>
      </c>
      <c r="H58" s="208" t="s">
        <v>330</v>
      </c>
      <c r="I58" s="208" t="s">
        <v>55</v>
      </c>
      <c r="J58" s="628" t="s">
        <v>6</v>
      </c>
      <c r="K58" s="629">
        <v>47.77</v>
      </c>
      <c r="L58" s="629" t="s">
        <v>280</v>
      </c>
      <c r="M58" s="630">
        <v>651228</v>
      </c>
      <c r="N58" s="630"/>
      <c r="O58" s="630"/>
      <c r="P58" s="631" t="s">
        <v>279</v>
      </c>
      <c r="Q58" s="632"/>
      <c r="R58" s="630"/>
      <c r="S58" s="630"/>
      <c r="T58" s="630"/>
      <c r="U58" s="630"/>
      <c r="V58" s="630"/>
      <c r="W58" s="630"/>
      <c r="X58" s="630"/>
      <c r="Y58" s="630">
        <v>146982</v>
      </c>
      <c r="Z58" s="630"/>
      <c r="AA58" s="630"/>
      <c r="AB58" s="630"/>
      <c r="AC58" s="630"/>
      <c r="AD58" s="448">
        <f t="shared" si="6"/>
        <v>146982</v>
      </c>
      <c r="AE58" s="633" t="s">
        <v>331</v>
      </c>
    </row>
    <row r="59" spans="2:31" x14ac:dyDescent="0.25">
      <c r="B59" s="4"/>
      <c r="C59" s="870" t="s">
        <v>31</v>
      </c>
      <c r="D59" s="271" t="s">
        <v>43</v>
      </c>
      <c r="E59" s="22" t="s">
        <v>192</v>
      </c>
      <c r="F59" s="45">
        <v>43713</v>
      </c>
      <c r="G59" s="45" t="s">
        <v>312</v>
      </c>
      <c r="H59" s="46" t="s">
        <v>128</v>
      </c>
      <c r="I59" s="46" t="s">
        <v>54</v>
      </c>
      <c r="J59" s="23" t="s">
        <v>4</v>
      </c>
      <c r="K59" s="24">
        <v>47.77</v>
      </c>
      <c r="L59" s="24" t="s">
        <v>281</v>
      </c>
      <c r="M59" s="25">
        <v>2615655</v>
      </c>
      <c r="N59" s="25">
        <f>+M59/K59</f>
        <v>54755.181075989109</v>
      </c>
      <c r="O59" s="25">
        <v>2283320</v>
      </c>
      <c r="P59" s="591">
        <f t="shared" ref="P59:P65" si="7">+(M59-O59)/O59</f>
        <v>0.14554902510379622</v>
      </c>
      <c r="Q59" s="464"/>
      <c r="R59" s="25"/>
      <c r="S59" s="25"/>
      <c r="T59" s="25"/>
      <c r="U59" s="25"/>
      <c r="V59" s="25"/>
      <c r="W59" s="25"/>
      <c r="X59" s="25"/>
      <c r="Y59" s="25">
        <v>900000</v>
      </c>
      <c r="Z59" s="25"/>
      <c r="AA59" s="25"/>
      <c r="AB59" s="25"/>
      <c r="AC59" s="25"/>
      <c r="AD59" s="420">
        <f t="shared" si="6"/>
        <v>900000</v>
      </c>
      <c r="AE59" s="26" t="s">
        <v>89</v>
      </c>
    </row>
    <row r="60" spans="2:31" x14ac:dyDescent="0.25">
      <c r="B60" s="4"/>
      <c r="C60" s="871"/>
      <c r="D60" s="271" t="s">
        <v>43</v>
      </c>
      <c r="E60" s="251" t="s">
        <v>193</v>
      </c>
      <c r="F60" s="284">
        <v>43714</v>
      </c>
      <c r="G60" s="284" t="s">
        <v>312</v>
      </c>
      <c r="H60" s="193" t="s">
        <v>194</v>
      </c>
      <c r="I60" s="193" t="s">
        <v>54</v>
      </c>
      <c r="J60" s="252" t="s">
        <v>4</v>
      </c>
      <c r="K60" s="253">
        <v>47.77</v>
      </c>
      <c r="L60" s="253" t="s">
        <v>280</v>
      </c>
      <c r="M60" s="254">
        <v>2261735</v>
      </c>
      <c r="N60" s="254">
        <f>+M60/K60</f>
        <v>47346.347079757164</v>
      </c>
      <c r="O60" s="254">
        <v>2283320</v>
      </c>
      <c r="P60" s="587">
        <f t="shared" si="7"/>
        <v>-9.4533398735175099E-3</v>
      </c>
      <c r="Q60" s="450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>
        <f>+M60</f>
        <v>2261735</v>
      </c>
      <c r="AC60" s="254"/>
      <c r="AD60" s="207">
        <f t="shared" si="6"/>
        <v>2261735</v>
      </c>
      <c r="AE60" s="451"/>
    </row>
    <row r="61" spans="2:31" x14ac:dyDescent="0.25">
      <c r="B61" s="4"/>
      <c r="C61" s="871"/>
      <c r="D61" s="271" t="s">
        <v>43</v>
      </c>
      <c r="E61" s="251" t="s">
        <v>193</v>
      </c>
      <c r="F61" s="284">
        <v>43714</v>
      </c>
      <c r="G61" s="284" t="s">
        <v>312</v>
      </c>
      <c r="H61" s="193" t="s">
        <v>164</v>
      </c>
      <c r="I61" s="193" t="s">
        <v>54</v>
      </c>
      <c r="J61" s="252" t="s">
        <v>4</v>
      </c>
      <c r="K61" s="253">
        <v>47.77</v>
      </c>
      <c r="L61" s="253" t="s">
        <v>280</v>
      </c>
      <c r="M61" s="254">
        <v>2261735</v>
      </c>
      <c r="N61" s="254">
        <f t="shared" ref="N61:N80" si="8">+M61/K61</f>
        <v>47346.347079757164</v>
      </c>
      <c r="O61" s="254">
        <v>2283320</v>
      </c>
      <c r="P61" s="587">
        <f t="shared" si="7"/>
        <v>-9.4533398735175099E-3</v>
      </c>
      <c r="Q61" s="450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>
        <f>+M61</f>
        <v>2261735</v>
      </c>
      <c r="AC61" s="254"/>
      <c r="AD61" s="207">
        <f t="shared" si="6"/>
        <v>2261735</v>
      </c>
      <c r="AE61" s="451"/>
    </row>
    <row r="62" spans="2:31" x14ac:dyDescent="0.25">
      <c r="B62" s="4"/>
      <c r="C62" s="871"/>
      <c r="D62" s="271" t="s">
        <v>43</v>
      </c>
      <c r="E62" s="263" t="s">
        <v>193</v>
      </c>
      <c r="F62" s="465">
        <v>43714</v>
      </c>
      <c r="G62" s="465" t="s">
        <v>312</v>
      </c>
      <c r="H62" s="466" t="s">
        <v>195</v>
      </c>
      <c r="I62" s="466" t="s">
        <v>54</v>
      </c>
      <c r="J62" s="264" t="s">
        <v>4</v>
      </c>
      <c r="K62" s="265">
        <v>47.77</v>
      </c>
      <c r="L62" s="265" t="s">
        <v>280</v>
      </c>
      <c r="M62" s="266">
        <v>2261735</v>
      </c>
      <c r="N62" s="266">
        <f t="shared" si="8"/>
        <v>47346.347079757164</v>
      </c>
      <c r="O62" s="266">
        <v>2283320</v>
      </c>
      <c r="P62" s="584">
        <f t="shared" si="7"/>
        <v>-9.4533398735175099E-3</v>
      </c>
      <c r="Q62" s="460"/>
      <c r="R62" s="266"/>
      <c r="S62" s="266"/>
      <c r="T62" s="266"/>
      <c r="U62" s="266"/>
      <c r="V62" s="266"/>
      <c r="W62" s="266"/>
      <c r="X62" s="266"/>
      <c r="Y62" s="266"/>
      <c r="Z62" s="254"/>
      <c r="AA62" s="254"/>
      <c r="AB62" s="254">
        <f>+M62</f>
        <v>2261735</v>
      </c>
      <c r="AC62" s="254"/>
      <c r="AD62" s="207">
        <f t="shared" si="6"/>
        <v>2261735</v>
      </c>
      <c r="AE62" s="462"/>
    </row>
    <row r="63" spans="2:31" x14ac:dyDescent="0.25">
      <c r="B63" s="4"/>
      <c r="C63" s="871"/>
      <c r="D63" s="271" t="s">
        <v>43</v>
      </c>
      <c r="E63" s="182" t="s">
        <v>196</v>
      </c>
      <c r="F63" s="156">
        <v>43719</v>
      </c>
      <c r="G63" s="156" t="s">
        <v>312</v>
      </c>
      <c r="H63" s="189" t="s">
        <v>197</v>
      </c>
      <c r="I63" s="189" t="s">
        <v>54</v>
      </c>
      <c r="J63" s="155" t="s">
        <v>6</v>
      </c>
      <c r="K63" s="157">
        <v>47.67</v>
      </c>
      <c r="L63" s="157" t="s">
        <v>280</v>
      </c>
      <c r="M63" s="158">
        <v>2159608.31</v>
      </c>
      <c r="N63" s="158">
        <f t="shared" si="8"/>
        <v>45303.299979022442</v>
      </c>
      <c r="O63" s="158">
        <v>2382002</v>
      </c>
      <c r="P63" s="580">
        <f t="shared" si="7"/>
        <v>-9.3364191129982232E-2</v>
      </c>
      <c r="Q63" s="452"/>
      <c r="R63" s="158"/>
      <c r="S63" s="158"/>
      <c r="T63" s="158"/>
      <c r="U63" s="158"/>
      <c r="V63" s="158"/>
      <c r="W63" s="158"/>
      <c r="X63" s="158"/>
      <c r="Y63" s="158">
        <f>967440.72+1192167.59</f>
        <v>2159608.31</v>
      </c>
      <c r="Z63" s="254"/>
      <c r="AA63" s="254"/>
      <c r="AB63" s="254"/>
      <c r="AC63" s="254"/>
      <c r="AD63" s="207">
        <f t="shared" si="6"/>
        <v>2159608.31</v>
      </c>
      <c r="AE63" s="421" t="s">
        <v>332</v>
      </c>
    </row>
    <row r="64" spans="2:31" x14ac:dyDescent="0.25">
      <c r="B64" s="4"/>
      <c r="C64" s="871"/>
      <c r="D64" s="271" t="s">
        <v>43</v>
      </c>
      <c r="E64" s="251" t="s">
        <v>198</v>
      </c>
      <c r="F64" s="284">
        <v>43721</v>
      </c>
      <c r="G64" s="284" t="s">
        <v>312</v>
      </c>
      <c r="H64" s="193" t="s">
        <v>199</v>
      </c>
      <c r="I64" s="193" t="s">
        <v>54</v>
      </c>
      <c r="J64" s="252" t="s">
        <v>6</v>
      </c>
      <c r="K64" s="253">
        <v>74.5</v>
      </c>
      <c r="L64" s="253" t="s">
        <v>280</v>
      </c>
      <c r="M64" s="254">
        <v>3637892</v>
      </c>
      <c r="N64" s="254">
        <f t="shared" si="8"/>
        <v>48830.765100671138</v>
      </c>
      <c r="O64" s="254">
        <v>3761241</v>
      </c>
      <c r="P64" s="587">
        <f t="shared" si="7"/>
        <v>-3.2794761090820822E-2</v>
      </c>
      <c r="Q64" s="450"/>
      <c r="R64" s="254"/>
      <c r="S64" s="254"/>
      <c r="T64" s="254"/>
      <c r="U64" s="254"/>
      <c r="V64" s="254"/>
      <c r="W64" s="254"/>
      <c r="X64" s="254"/>
      <c r="Y64" s="254">
        <f>+M64</f>
        <v>3637892</v>
      </c>
      <c r="Z64" s="254"/>
      <c r="AA64" s="254"/>
      <c r="AB64" s="254"/>
      <c r="AC64" s="254"/>
      <c r="AD64" s="207">
        <f t="shared" si="6"/>
        <v>3637892</v>
      </c>
      <c r="AE64" s="451"/>
    </row>
    <row r="65" spans="2:31" x14ac:dyDescent="0.25">
      <c r="B65" s="4"/>
      <c r="C65" s="871"/>
      <c r="D65" s="271" t="s">
        <v>43</v>
      </c>
      <c r="E65" s="251" t="s">
        <v>198</v>
      </c>
      <c r="F65" s="284">
        <v>43721</v>
      </c>
      <c r="G65" s="284" t="s">
        <v>312</v>
      </c>
      <c r="H65" s="193" t="s">
        <v>200</v>
      </c>
      <c r="I65" s="193" t="s">
        <v>54</v>
      </c>
      <c r="J65" s="252" t="s">
        <v>6</v>
      </c>
      <c r="K65" s="253">
        <v>46.62</v>
      </c>
      <c r="L65" s="253" t="s">
        <v>280</v>
      </c>
      <c r="M65" s="254">
        <v>2042794</v>
      </c>
      <c r="N65" s="254">
        <f t="shared" si="8"/>
        <v>43817.975117975118</v>
      </c>
      <c r="O65" s="254">
        <v>2329535</v>
      </c>
      <c r="P65" s="587">
        <f t="shared" si="7"/>
        <v>-0.12308937191327883</v>
      </c>
      <c r="Q65" s="450"/>
      <c r="R65" s="254"/>
      <c r="S65" s="254"/>
      <c r="T65" s="254"/>
      <c r="U65" s="254"/>
      <c r="V65" s="254"/>
      <c r="W65" s="254"/>
      <c r="X65" s="254"/>
      <c r="Y65" s="254">
        <f>+M65</f>
        <v>2042794</v>
      </c>
      <c r="Z65" s="254"/>
      <c r="AA65" s="254"/>
      <c r="AB65" s="254"/>
      <c r="AC65" s="254"/>
      <c r="AD65" s="207">
        <f t="shared" si="6"/>
        <v>2042794</v>
      </c>
      <c r="AE65" s="451"/>
    </row>
    <row r="66" spans="2:31" x14ac:dyDescent="0.25">
      <c r="B66" s="4"/>
      <c r="C66" s="871"/>
      <c r="D66" s="271" t="s">
        <v>43</v>
      </c>
      <c r="E66" s="251" t="s">
        <v>198</v>
      </c>
      <c r="F66" s="284">
        <v>43721</v>
      </c>
      <c r="G66" s="284" t="s">
        <v>312</v>
      </c>
      <c r="H66" s="193" t="s">
        <v>333</v>
      </c>
      <c r="I66" s="193" t="s">
        <v>55</v>
      </c>
      <c r="J66" s="252" t="s">
        <v>6</v>
      </c>
      <c r="K66" s="253">
        <v>19.899999999999999</v>
      </c>
      <c r="L66" s="253" t="s">
        <v>280</v>
      </c>
      <c r="M66" s="254">
        <v>691469</v>
      </c>
      <c r="N66" s="254"/>
      <c r="O66" s="254"/>
      <c r="P66" s="587" t="s">
        <v>279</v>
      </c>
      <c r="Q66" s="450"/>
      <c r="R66" s="254"/>
      <c r="S66" s="254"/>
      <c r="T66" s="254"/>
      <c r="U66" s="254"/>
      <c r="V66" s="254"/>
      <c r="W66" s="254"/>
      <c r="X66" s="254"/>
      <c r="Y66" s="254">
        <f>+M66</f>
        <v>691469</v>
      </c>
      <c r="Z66" s="254"/>
      <c r="AA66" s="254"/>
      <c r="AB66" s="254"/>
      <c r="AC66" s="254"/>
      <c r="AD66" s="207">
        <f t="shared" si="6"/>
        <v>691469</v>
      </c>
      <c r="AE66" s="451"/>
    </row>
    <row r="67" spans="2:31" x14ac:dyDescent="0.25">
      <c r="B67" s="4"/>
      <c r="C67" s="871"/>
      <c r="D67" s="271" t="s">
        <v>43</v>
      </c>
      <c r="E67" s="251" t="s">
        <v>201</v>
      </c>
      <c r="F67" s="284">
        <v>43721</v>
      </c>
      <c r="G67" s="284" t="s">
        <v>375</v>
      </c>
      <c r="H67" s="193" t="s">
        <v>202</v>
      </c>
      <c r="I67" s="193" t="s">
        <v>54</v>
      </c>
      <c r="J67" s="252" t="s">
        <v>9</v>
      </c>
      <c r="K67" s="253">
        <v>47.17</v>
      </c>
      <c r="L67" s="253" t="s">
        <v>280</v>
      </c>
      <c r="M67" s="254">
        <v>2028310</v>
      </c>
      <c r="N67" s="254">
        <f t="shared" si="8"/>
        <v>43000</v>
      </c>
      <c r="O67" s="254">
        <v>1981437</v>
      </c>
      <c r="P67" s="587">
        <f>+(M67-O67)/O67</f>
        <v>2.3656063755748986E-2</v>
      </c>
      <c r="Q67" s="450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>
        <f>+M67</f>
        <v>2028310</v>
      </c>
      <c r="AC67" s="254"/>
      <c r="AD67" s="207">
        <f t="shared" ref="AD67:AD93" si="9">SUM(Q67:AB67)</f>
        <v>2028310</v>
      </c>
      <c r="AE67" s="451" t="s">
        <v>334</v>
      </c>
    </row>
    <row r="68" spans="2:31" x14ac:dyDescent="0.25">
      <c r="B68" s="4"/>
      <c r="C68" s="871"/>
      <c r="D68" s="271" t="s">
        <v>43</v>
      </c>
      <c r="E68" s="251" t="s">
        <v>201</v>
      </c>
      <c r="F68" s="284">
        <v>43721</v>
      </c>
      <c r="G68" s="284" t="s">
        <v>375</v>
      </c>
      <c r="H68" s="193" t="s">
        <v>203</v>
      </c>
      <c r="I68" s="193" t="s">
        <v>54</v>
      </c>
      <c r="J68" s="252" t="s">
        <v>9</v>
      </c>
      <c r="K68" s="253">
        <v>47.17</v>
      </c>
      <c r="L68" s="253" t="s">
        <v>280</v>
      </c>
      <c r="M68" s="254">
        <v>2028310</v>
      </c>
      <c r="N68" s="254">
        <f t="shared" si="8"/>
        <v>43000</v>
      </c>
      <c r="O68" s="254">
        <v>1981437</v>
      </c>
      <c r="P68" s="587">
        <f>+(M68-O68)/O68</f>
        <v>2.3656063755748986E-2</v>
      </c>
      <c r="Q68" s="450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>
        <f>+M68</f>
        <v>2028310</v>
      </c>
      <c r="AC68" s="254"/>
      <c r="AD68" s="207">
        <f t="shared" si="9"/>
        <v>2028310</v>
      </c>
      <c r="AE68" s="451" t="s">
        <v>334</v>
      </c>
    </row>
    <row r="69" spans="2:31" x14ac:dyDescent="0.25">
      <c r="B69" s="4"/>
      <c r="C69" s="871"/>
      <c r="D69" s="271" t="s">
        <v>43</v>
      </c>
      <c r="E69" s="251" t="s">
        <v>201</v>
      </c>
      <c r="F69" s="284">
        <v>43721</v>
      </c>
      <c r="G69" s="284" t="s">
        <v>375</v>
      </c>
      <c r="H69" s="193" t="s">
        <v>204</v>
      </c>
      <c r="I69" s="193" t="s">
        <v>54</v>
      </c>
      <c r="J69" s="252" t="s">
        <v>9</v>
      </c>
      <c r="K69" s="253">
        <v>47.17</v>
      </c>
      <c r="L69" s="253" t="s">
        <v>280</v>
      </c>
      <c r="M69" s="254">
        <v>2028310</v>
      </c>
      <c r="N69" s="254">
        <f t="shared" si="8"/>
        <v>43000</v>
      </c>
      <c r="O69" s="254">
        <v>1981437</v>
      </c>
      <c r="P69" s="587">
        <f>+(M69-O69)/O69</f>
        <v>2.3656063755748986E-2</v>
      </c>
      <c r="Q69" s="450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>
        <f>+M69</f>
        <v>2028310</v>
      </c>
      <c r="AC69" s="254"/>
      <c r="AD69" s="207">
        <f t="shared" si="9"/>
        <v>2028310</v>
      </c>
      <c r="AE69" s="451" t="s">
        <v>334</v>
      </c>
    </row>
    <row r="70" spans="2:31" x14ac:dyDescent="0.25">
      <c r="B70" s="4"/>
      <c r="C70" s="871"/>
      <c r="D70" s="271" t="s">
        <v>43</v>
      </c>
      <c r="E70" s="251" t="s">
        <v>201</v>
      </c>
      <c r="F70" s="284">
        <v>43721</v>
      </c>
      <c r="G70" s="284" t="s">
        <v>375</v>
      </c>
      <c r="H70" s="193" t="s">
        <v>166</v>
      </c>
      <c r="I70" s="193" t="s">
        <v>54</v>
      </c>
      <c r="J70" s="252" t="s">
        <v>9</v>
      </c>
      <c r="K70" s="253">
        <v>47.17</v>
      </c>
      <c r="L70" s="253" t="s">
        <v>280</v>
      </c>
      <c r="M70" s="254">
        <v>2028310</v>
      </c>
      <c r="N70" s="254">
        <f t="shared" si="8"/>
        <v>43000</v>
      </c>
      <c r="O70" s="254">
        <v>1981437</v>
      </c>
      <c r="P70" s="587">
        <f>+(M70-O70)/O70</f>
        <v>2.3656063755748986E-2</v>
      </c>
      <c r="Q70" s="450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>
        <f>+M70</f>
        <v>2028310</v>
      </c>
      <c r="AC70" s="254"/>
      <c r="AD70" s="207">
        <f t="shared" si="9"/>
        <v>2028310</v>
      </c>
      <c r="AE70" s="451" t="s">
        <v>334</v>
      </c>
    </row>
    <row r="71" spans="2:31" x14ac:dyDescent="0.25">
      <c r="B71" s="4"/>
      <c r="C71" s="871"/>
      <c r="D71" s="271" t="s">
        <v>43</v>
      </c>
      <c r="E71" s="251" t="s">
        <v>201</v>
      </c>
      <c r="F71" s="284">
        <v>43721</v>
      </c>
      <c r="G71" s="284" t="s">
        <v>375</v>
      </c>
      <c r="H71" s="193" t="s">
        <v>335</v>
      </c>
      <c r="I71" s="193" t="s">
        <v>55</v>
      </c>
      <c r="J71" s="252" t="s">
        <v>9</v>
      </c>
      <c r="K71" s="253">
        <v>20.66</v>
      </c>
      <c r="L71" s="253" t="s">
        <v>280</v>
      </c>
      <c r="M71" s="254">
        <v>646637.34</v>
      </c>
      <c r="N71" s="254"/>
      <c r="O71" s="254"/>
      <c r="P71" s="587" t="s">
        <v>279</v>
      </c>
      <c r="Q71" s="450"/>
      <c r="R71" s="254"/>
      <c r="S71" s="254"/>
      <c r="T71" s="254"/>
      <c r="U71" s="254"/>
      <c r="V71" s="254"/>
      <c r="W71" s="254"/>
      <c r="X71" s="254"/>
      <c r="Y71" s="254"/>
      <c r="Z71" s="254">
        <f>+M71</f>
        <v>646637.34</v>
      </c>
      <c r="AA71" s="254"/>
      <c r="AB71" s="254"/>
      <c r="AC71" s="254"/>
      <c r="AD71" s="207">
        <f t="shared" si="9"/>
        <v>646637.34</v>
      </c>
      <c r="AE71" s="451" t="s">
        <v>334</v>
      </c>
    </row>
    <row r="72" spans="2:31" x14ac:dyDescent="0.25">
      <c r="B72" s="4"/>
      <c r="C72" s="871"/>
      <c r="D72" s="271" t="s">
        <v>43</v>
      </c>
      <c r="E72" s="251" t="s">
        <v>201</v>
      </c>
      <c r="F72" s="284">
        <v>43721</v>
      </c>
      <c r="G72" s="284" t="s">
        <v>375</v>
      </c>
      <c r="H72" s="193" t="s">
        <v>336</v>
      </c>
      <c r="I72" s="193" t="s">
        <v>55</v>
      </c>
      <c r="J72" s="252" t="s">
        <v>9</v>
      </c>
      <c r="K72" s="253">
        <v>20.66</v>
      </c>
      <c r="L72" s="253" t="s">
        <v>280</v>
      </c>
      <c r="M72" s="254">
        <v>646637.34</v>
      </c>
      <c r="N72" s="254"/>
      <c r="O72" s="254"/>
      <c r="P72" s="587" t="s">
        <v>279</v>
      </c>
      <c r="Q72" s="450"/>
      <c r="R72" s="254"/>
      <c r="S72" s="254"/>
      <c r="T72" s="254"/>
      <c r="U72" s="254"/>
      <c r="V72" s="254"/>
      <c r="W72" s="254"/>
      <c r="X72" s="254"/>
      <c r="Y72" s="254"/>
      <c r="Z72" s="254">
        <f>+M72</f>
        <v>646637.34</v>
      </c>
      <c r="AA72" s="254"/>
      <c r="AB72" s="254"/>
      <c r="AC72" s="254"/>
      <c r="AD72" s="207">
        <f t="shared" si="9"/>
        <v>646637.34</v>
      </c>
      <c r="AE72" s="451" t="s">
        <v>334</v>
      </c>
    </row>
    <row r="73" spans="2:31" x14ac:dyDescent="0.25">
      <c r="B73" s="4"/>
      <c r="C73" s="871"/>
      <c r="D73" s="271" t="s">
        <v>43</v>
      </c>
      <c r="E73" s="251" t="s">
        <v>201</v>
      </c>
      <c r="F73" s="284">
        <v>43721</v>
      </c>
      <c r="G73" s="284" t="s">
        <v>375</v>
      </c>
      <c r="H73" s="193" t="s">
        <v>337</v>
      </c>
      <c r="I73" s="193" t="s">
        <v>55</v>
      </c>
      <c r="J73" s="252" t="s">
        <v>9</v>
      </c>
      <c r="K73" s="253">
        <v>20.66</v>
      </c>
      <c r="L73" s="253" t="s">
        <v>280</v>
      </c>
      <c r="M73" s="254">
        <v>646637.34</v>
      </c>
      <c r="N73" s="254"/>
      <c r="O73" s="254"/>
      <c r="P73" s="587" t="s">
        <v>279</v>
      </c>
      <c r="Q73" s="450"/>
      <c r="R73" s="254"/>
      <c r="S73" s="254"/>
      <c r="T73" s="254"/>
      <c r="U73" s="254"/>
      <c r="V73" s="254"/>
      <c r="W73" s="254"/>
      <c r="X73" s="254"/>
      <c r="Y73" s="254"/>
      <c r="Z73" s="254">
        <f>+M73</f>
        <v>646637.34</v>
      </c>
      <c r="AA73" s="254"/>
      <c r="AB73" s="254"/>
      <c r="AC73" s="254"/>
      <c r="AD73" s="207">
        <f t="shared" si="9"/>
        <v>646637.34</v>
      </c>
      <c r="AE73" s="451" t="s">
        <v>334</v>
      </c>
    </row>
    <row r="74" spans="2:31" x14ac:dyDescent="0.25">
      <c r="B74" s="4"/>
      <c r="C74" s="871"/>
      <c r="D74" s="271" t="s">
        <v>43</v>
      </c>
      <c r="E74" s="251" t="s">
        <v>201</v>
      </c>
      <c r="F74" s="284">
        <v>43721</v>
      </c>
      <c r="G74" s="284" t="s">
        <v>375</v>
      </c>
      <c r="H74" s="193" t="s">
        <v>330</v>
      </c>
      <c r="I74" s="193" t="s">
        <v>55</v>
      </c>
      <c r="J74" s="252" t="s">
        <v>9</v>
      </c>
      <c r="K74" s="253">
        <v>20.66</v>
      </c>
      <c r="L74" s="253" t="s">
        <v>280</v>
      </c>
      <c r="M74" s="254">
        <v>646637.34</v>
      </c>
      <c r="N74" s="254"/>
      <c r="O74" s="254"/>
      <c r="P74" s="587" t="s">
        <v>279</v>
      </c>
      <c r="Q74" s="450"/>
      <c r="R74" s="254"/>
      <c r="S74" s="254"/>
      <c r="T74" s="254"/>
      <c r="U74" s="254"/>
      <c r="V74" s="254"/>
      <c r="W74" s="254"/>
      <c r="X74" s="254"/>
      <c r="Y74" s="254"/>
      <c r="Z74" s="254">
        <f>+M74</f>
        <v>646637.34</v>
      </c>
      <c r="AA74" s="254"/>
      <c r="AB74" s="254"/>
      <c r="AC74" s="254"/>
      <c r="AD74" s="207">
        <f t="shared" si="9"/>
        <v>646637.34</v>
      </c>
      <c r="AE74" s="451" t="s">
        <v>334</v>
      </c>
    </row>
    <row r="75" spans="2:31" x14ac:dyDescent="0.25">
      <c r="B75" s="4"/>
      <c r="C75" s="871"/>
      <c r="D75" s="271" t="s">
        <v>43</v>
      </c>
      <c r="E75" s="251" t="s">
        <v>201</v>
      </c>
      <c r="F75" s="284">
        <v>43721</v>
      </c>
      <c r="G75" s="284" t="s">
        <v>375</v>
      </c>
      <c r="H75" s="193" t="s">
        <v>112</v>
      </c>
      <c r="I75" s="193" t="s">
        <v>54</v>
      </c>
      <c r="J75" s="252" t="s">
        <v>6</v>
      </c>
      <c r="K75" s="253">
        <v>46.62</v>
      </c>
      <c r="L75" s="253" t="s">
        <v>280</v>
      </c>
      <c r="M75" s="254">
        <v>2167830</v>
      </c>
      <c r="N75" s="254">
        <f t="shared" si="8"/>
        <v>46500</v>
      </c>
      <c r="O75" s="254">
        <v>2329535</v>
      </c>
      <c r="P75" s="587">
        <f>+(M75-O75)/O75</f>
        <v>-6.9415140789900132E-2</v>
      </c>
      <c r="Q75" s="450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>
        <f>+M75</f>
        <v>2167830</v>
      </c>
      <c r="AC75" s="254"/>
      <c r="AD75" s="207">
        <f t="shared" si="9"/>
        <v>2167830</v>
      </c>
      <c r="AE75" s="451" t="s">
        <v>334</v>
      </c>
    </row>
    <row r="76" spans="2:31" x14ac:dyDescent="0.25">
      <c r="B76" s="4"/>
      <c r="C76" s="871"/>
      <c r="D76" s="271" t="s">
        <v>43</v>
      </c>
      <c r="E76" s="251" t="s">
        <v>201</v>
      </c>
      <c r="F76" s="284">
        <v>43721</v>
      </c>
      <c r="G76" s="284" t="s">
        <v>375</v>
      </c>
      <c r="H76" s="193" t="s">
        <v>338</v>
      </c>
      <c r="I76" s="193" t="s">
        <v>55</v>
      </c>
      <c r="J76" s="252" t="s">
        <v>6</v>
      </c>
      <c r="K76" s="253">
        <v>19.899999999999999</v>
      </c>
      <c r="L76" s="253" t="s">
        <v>280</v>
      </c>
      <c r="M76" s="254">
        <v>686550</v>
      </c>
      <c r="N76" s="254"/>
      <c r="O76" s="254"/>
      <c r="P76" s="587" t="s">
        <v>279</v>
      </c>
      <c r="Q76" s="450"/>
      <c r="R76" s="254"/>
      <c r="S76" s="254"/>
      <c r="T76" s="254"/>
      <c r="U76" s="254"/>
      <c r="V76" s="254"/>
      <c r="W76" s="254"/>
      <c r="X76" s="254"/>
      <c r="Y76" s="254"/>
      <c r="Z76" s="254">
        <f t="shared" ref="Z76:Z86" si="10">+M76</f>
        <v>686550</v>
      </c>
      <c r="AA76" s="254"/>
      <c r="AB76" s="254"/>
      <c r="AC76" s="254"/>
      <c r="AD76" s="207">
        <f t="shared" si="9"/>
        <v>686550</v>
      </c>
      <c r="AE76" s="451" t="s">
        <v>334</v>
      </c>
    </row>
    <row r="77" spans="2:31" x14ac:dyDescent="0.25">
      <c r="B77" s="4"/>
      <c r="C77" s="871"/>
      <c r="D77" s="271" t="s">
        <v>43</v>
      </c>
      <c r="E77" s="251" t="s">
        <v>201</v>
      </c>
      <c r="F77" s="284">
        <v>43721</v>
      </c>
      <c r="G77" s="284" t="s">
        <v>375</v>
      </c>
      <c r="H77" s="193" t="s">
        <v>154</v>
      </c>
      <c r="I77" s="193" t="s">
        <v>54</v>
      </c>
      <c r="J77" s="252" t="s">
        <v>44</v>
      </c>
      <c r="K77" s="253">
        <v>35.78</v>
      </c>
      <c r="L77" s="253" t="s">
        <v>280</v>
      </c>
      <c r="M77" s="254">
        <v>1471664</v>
      </c>
      <c r="N77" s="254">
        <f t="shared" si="8"/>
        <v>41130.9111235327</v>
      </c>
      <c r="O77" s="622">
        <v>1471664</v>
      </c>
      <c r="P77" s="623">
        <f>+(M77-O77)/O77</f>
        <v>0</v>
      </c>
      <c r="Q77" s="450"/>
      <c r="R77" s="254"/>
      <c r="S77" s="254"/>
      <c r="T77" s="254"/>
      <c r="U77" s="254"/>
      <c r="V77" s="254"/>
      <c r="W77" s="254"/>
      <c r="X77" s="254"/>
      <c r="Y77" s="254"/>
      <c r="Z77" s="254">
        <f t="shared" si="10"/>
        <v>1471664</v>
      </c>
      <c r="AA77" s="254"/>
      <c r="AB77" s="254"/>
      <c r="AC77" s="254"/>
      <c r="AD77" s="207">
        <f t="shared" si="9"/>
        <v>1471664</v>
      </c>
      <c r="AE77" s="451" t="s">
        <v>334</v>
      </c>
    </row>
    <row r="78" spans="2:31" x14ac:dyDescent="0.25">
      <c r="B78" s="4"/>
      <c r="C78" s="871"/>
      <c r="D78" s="271" t="s">
        <v>43</v>
      </c>
      <c r="E78" s="251" t="s">
        <v>201</v>
      </c>
      <c r="F78" s="284">
        <v>43721</v>
      </c>
      <c r="G78" s="284" t="s">
        <v>375</v>
      </c>
      <c r="H78" s="193" t="s">
        <v>271</v>
      </c>
      <c r="I78" s="193" t="s">
        <v>54</v>
      </c>
      <c r="J78" s="252" t="s">
        <v>44</v>
      </c>
      <c r="K78" s="253">
        <v>35.78</v>
      </c>
      <c r="L78" s="253" t="s">
        <v>280</v>
      </c>
      <c r="M78" s="254">
        <v>1471664</v>
      </c>
      <c r="N78" s="254">
        <f t="shared" si="8"/>
        <v>41130.9111235327</v>
      </c>
      <c r="O78" s="622">
        <v>1471664</v>
      </c>
      <c r="P78" s="623">
        <f>+(M78-O78)/O78</f>
        <v>0</v>
      </c>
      <c r="Q78" s="450"/>
      <c r="R78" s="254"/>
      <c r="S78" s="254"/>
      <c r="T78" s="254"/>
      <c r="U78" s="254"/>
      <c r="V78" s="254"/>
      <c r="W78" s="254"/>
      <c r="X78" s="254"/>
      <c r="Y78" s="254"/>
      <c r="Z78" s="254">
        <f t="shared" si="10"/>
        <v>1471664</v>
      </c>
      <c r="AA78" s="254"/>
      <c r="AB78" s="254"/>
      <c r="AC78" s="254"/>
      <c r="AD78" s="207">
        <f t="shared" si="9"/>
        <v>1471664</v>
      </c>
      <c r="AE78" s="451" t="s">
        <v>334</v>
      </c>
    </row>
    <row r="79" spans="2:31" x14ac:dyDescent="0.25">
      <c r="B79" s="4"/>
      <c r="C79" s="871"/>
      <c r="D79" s="271" t="s">
        <v>43</v>
      </c>
      <c r="E79" s="251" t="s">
        <v>201</v>
      </c>
      <c r="F79" s="284">
        <v>43721</v>
      </c>
      <c r="G79" s="284" t="s">
        <v>375</v>
      </c>
      <c r="H79" s="193" t="s">
        <v>273</v>
      </c>
      <c r="I79" s="193" t="s">
        <v>54</v>
      </c>
      <c r="J79" s="252" t="s">
        <v>44</v>
      </c>
      <c r="K79" s="253">
        <v>35.78</v>
      </c>
      <c r="L79" s="253" t="s">
        <v>280</v>
      </c>
      <c r="M79" s="254">
        <v>1471664</v>
      </c>
      <c r="N79" s="254">
        <f t="shared" si="8"/>
        <v>41130.9111235327</v>
      </c>
      <c r="O79" s="622">
        <v>1471664</v>
      </c>
      <c r="P79" s="623">
        <f>+(M79-O79)/O79</f>
        <v>0</v>
      </c>
      <c r="Q79" s="450"/>
      <c r="R79" s="254"/>
      <c r="S79" s="254"/>
      <c r="T79" s="254"/>
      <c r="U79" s="254"/>
      <c r="V79" s="254"/>
      <c r="W79" s="254"/>
      <c r="X79" s="254"/>
      <c r="Y79" s="254"/>
      <c r="Z79" s="254">
        <f t="shared" si="10"/>
        <v>1471664</v>
      </c>
      <c r="AA79" s="254"/>
      <c r="AB79" s="254"/>
      <c r="AC79" s="254"/>
      <c r="AD79" s="207">
        <f t="shared" si="9"/>
        <v>1471664</v>
      </c>
      <c r="AE79" s="451" t="s">
        <v>334</v>
      </c>
    </row>
    <row r="80" spans="2:31" x14ac:dyDescent="0.25">
      <c r="B80" s="4"/>
      <c r="C80" s="871"/>
      <c r="D80" s="271" t="s">
        <v>43</v>
      </c>
      <c r="E80" s="251" t="s">
        <v>201</v>
      </c>
      <c r="F80" s="284">
        <v>43721</v>
      </c>
      <c r="G80" s="284" t="s">
        <v>375</v>
      </c>
      <c r="H80" s="193" t="s">
        <v>339</v>
      </c>
      <c r="I80" s="193" t="s">
        <v>54</v>
      </c>
      <c r="J80" s="252" t="s">
        <v>44</v>
      </c>
      <c r="K80" s="253">
        <v>35.78</v>
      </c>
      <c r="L80" s="253" t="s">
        <v>280</v>
      </c>
      <c r="M80" s="254">
        <v>1471664</v>
      </c>
      <c r="N80" s="254">
        <f t="shared" si="8"/>
        <v>41130.9111235327</v>
      </c>
      <c r="O80" s="622">
        <v>1471664</v>
      </c>
      <c r="P80" s="623">
        <f>+(M80-O80)/O80</f>
        <v>0</v>
      </c>
      <c r="Q80" s="450"/>
      <c r="R80" s="254"/>
      <c r="S80" s="254"/>
      <c r="T80" s="254"/>
      <c r="U80" s="254"/>
      <c r="V80" s="254"/>
      <c r="W80" s="254"/>
      <c r="X80" s="254"/>
      <c r="Y80" s="254"/>
      <c r="Z80" s="254">
        <f t="shared" si="10"/>
        <v>1471664</v>
      </c>
      <c r="AA80" s="254"/>
      <c r="AB80" s="254"/>
      <c r="AC80" s="254"/>
      <c r="AD80" s="207">
        <f t="shared" si="9"/>
        <v>1471664</v>
      </c>
      <c r="AE80" s="451" t="s">
        <v>334</v>
      </c>
    </row>
    <row r="81" spans="2:31" x14ac:dyDescent="0.25">
      <c r="B81" s="4"/>
      <c r="C81" s="871"/>
      <c r="D81" s="271" t="s">
        <v>43</v>
      </c>
      <c r="E81" s="251" t="s">
        <v>201</v>
      </c>
      <c r="F81" s="284">
        <v>43721</v>
      </c>
      <c r="G81" s="284" t="s">
        <v>375</v>
      </c>
      <c r="H81" s="193" t="s">
        <v>340</v>
      </c>
      <c r="I81" s="193" t="s">
        <v>55</v>
      </c>
      <c r="J81" s="252" t="s">
        <v>44</v>
      </c>
      <c r="K81" s="253">
        <v>20.32</v>
      </c>
      <c r="L81" s="253" t="s">
        <v>280</v>
      </c>
      <c r="M81" s="254">
        <v>639024.44759999996</v>
      </c>
      <c r="N81" s="254"/>
      <c r="O81" s="254"/>
      <c r="P81" s="254" t="s">
        <v>279</v>
      </c>
      <c r="Q81" s="450"/>
      <c r="R81" s="254"/>
      <c r="S81" s="254"/>
      <c r="T81" s="254"/>
      <c r="U81" s="254"/>
      <c r="V81" s="254"/>
      <c r="W81" s="254"/>
      <c r="X81" s="254"/>
      <c r="Y81" s="254"/>
      <c r="Z81" s="254">
        <f t="shared" si="10"/>
        <v>639024.44759999996</v>
      </c>
      <c r="AA81" s="254"/>
      <c r="AB81" s="254"/>
      <c r="AC81" s="254"/>
      <c r="AD81" s="207">
        <f t="shared" si="9"/>
        <v>639024.44759999996</v>
      </c>
      <c r="AE81" s="451" t="s">
        <v>334</v>
      </c>
    </row>
    <row r="82" spans="2:31" x14ac:dyDescent="0.25">
      <c r="B82" s="4"/>
      <c r="C82" s="871"/>
      <c r="D82" s="271" t="s">
        <v>43</v>
      </c>
      <c r="E82" s="251" t="s">
        <v>201</v>
      </c>
      <c r="F82" s="284">
        <v>43721</v>
      </c>
      <c r="G82" s="284" t="s">
        <v>375</v>
      </c>
      <c r="H82" s="193" t="s">
        <v>335</v>
      </c>
      <c r="I82" s="193" t="s">
        <v>55</v>
      </c>
      <c r="J82" s="252" t="s">
        <v>44</v>
      </c>
      <c r="K82" s="253">
        <v>20.32</v>
      </c>
      <c r="L82" s="253" t="s">
        <v>280</v>
      </c>
      <c r="M82" s="254">
        <v>639024.44759999996</v>
      </c>
      <c r="N82" s="254"/>
      <c r="O82" s="254"/>
      <c r="P82" s="254" t="s">
        <v>279</v>
      </c>
      <c r="Q82" s="450"/>
      <c r="R82" s="254"/>
      <c r="S82" s="254"/>
      <c r="T82" s="254"/>
      <c r="U82" s="254"/>
      <c r="V82" s="254"/>
      <c r="W82" s="254"/>
      <c r="X82" s="254"/>
      <c r="Y82" s="254"/>
      <c r="Z82" s="254">
        <f t="shared" si="10"/>
        <v>639024.44759999996</v>
      </c>
      <c r="AA82" s="254"/>
      <c r="AB82" s="254"/>
      <c r="AC82" s="254"/>
      <c r="AD82" s="207">
        <f t="shared" si="9"/>
        <v>639024.44759999996</v>
      </c>
      <c r="AE82" s="451" t="s">
        <v>334</v>
      </c>
    </row>
    <row r="83" spans="2:31" x14ac:dyDescent="0.25">
      <c r="B83" s="4"/>
      <c r="C83" s="871"/>
      <c r="D83" s="271" t="s">
        <v>43</v>
      </c>
      <c r="E83" s="251" t="s">
        <v>201</v>
      </c>
      <c r="F83" s="284">
        <v>43721</v>
      </c>
      <c r="G83" s="284" t="s">
        <v>375</v>
      </c>
      <c r="H83" s="193" t="s">
        <v>341</v>
      </c>
      <c r="I83" s="193" t="s">
        <v>55</v>
      </c>
      <c r="J83" s="252" t="s">
        <v>44</v>
      </c>
      <c r="K83" s="253">
        <v>20.32</v>
      </c>
      <c r="L83" s="253" t="s">
        <v>280</v>
      </c>
      <c r="M83" s="254">
        <v>639024.44759999996</v>
      </c>
      <c r="N83" s="254"/>
      <c r="O83" s="254"/>
      <c r="P83" s="254" t="s">
        <v>279</v>
      </c>
      <c r="Q83" s="450"/>
      <c r="R83" s="254"/>
      <c r="S83" s="254"/>
      <c r="T83" s="254"/>
      <c r="U83" s="254"/>
      <c r="V83" s="254"/>
      <c r="W83" s="254"/>
      <c r="X83" s="254"/>
      <c r="Y83" s="254"/>
      <c r="Z83" s="254">
        <f t="shared" si="10"/>
        <v>639024.44759999996</v>
      </c>
      <c r="AA83" s="254"/>
      <c r="AB83" s="254"/>
      <c r="AC83" s="254"/>
      <c r="AD83" s="207">
        <f t="shared" si="9"/>
        <v>639024.44759999996</v>
      </c>
      <c r="AE83" s="451" t="s">
        <v>334</v>
      </c>
    </row>
    <row r="84" spans="2:31" ht="15.75" thickBot="1" x14ac:dyDescent="0.3">
      <c r="B84" s="4"/>
      <c r="C84" s="871"/>
      <c r="D84" s="271" t="s">
        <v>43</v>
      </c>
      <c r="E84" s="467" t="s">
        <v>201</v>
      </c>
      <c r="F84" s="468">
        <v>43721</v>
      </c>
      <c r="G84" s="284" t="s">
        <v>375</v>
      </c>
      <c r="H84" s="469" t="s">
        <v>336</v>
      </c>
      <c r="I84" s="469" t="s">
        <v>55</v>
      </c>
      <c r="J84" s="470" t="s">
        <v>44</v>
      </c>
      <c r="K84" s="471">
        <v>20.32</v>
      </c>
      <c r="L84" s="471" t="s">
        <v>280</v>
      </c>
      <c r="M84" s="472">
        <v>639024.44759999996</v>
      </c>
      <c r="N84" s="472"/>
      <c r="O84" s="472"/>
      <c r="P84" s="472" t="s">
        <v>279</v>
      </c>
      <c r="Q84" s="473"/>
      <c r="R84" s="472"/>
      <c r="S84" s="472"/>
      <c r="T84" s="472"/>
      <c r="U84" s="472"/>
      <c r="V84" s="472"/>
      <c r="W84" s="472"/>
      <c r="X84" s="472"/>
      <c r="Y84" s="472"/>
      <c r="Z84" s="472">
        <f t="shared" si="10"/>
        <v>639024.44759999996</v>
      </c>
      <c r="AA84" s="472"/>
      <c r="AB84" s="472"/>
      <c r="AC84" s="472"/>
      <c r="AD84" s="474">
        <f t="shared" si="9"/>
        <v>639024.44759999996</v>
      </c>
      <c r="AE84" s="475" t="s">
        <v>334</v>
      </c>
    </row>
    <row r="85" spans="2:31" s="44" customFormat="1" ht="24.75" customHeight="1" x14ac:dyDescent="0.25">
      <c r="B85" s="476"/>
      <c r="C85" s="870" t="s">
        <v>33</v>
      </c>
      <c r="D85" s="271" t="s">
        <v>43</v>
      </c>
      <c r="E85" s="17" t="s">
        <v>209</v>
      </c>
      <c r="F85" s="18">
        <v>43742</v>
      </c>
      <c r="G85" s="18" t="s">
        <v>312</v>
      </c>
      <c r="H85" s="33" t="s">
        <v>210</v>
      </c>
      <c r="I85" s="33" t="s">
        <v>54</v>
      </c>
      <c r="J85" s="19" t="s">
        <v>4</v>
      </c>
      <c r="K85" s="42">
        <v>54.44</v>
      </c>
      <c r="L85" s="42" t="s">
        <v>280</v>
      </c>
      <c r="M85" s="43">
        <v>2583594</v>
      </c>
      <c r="N85" s="43">
        <f t="shared" ref="N85:N94" si="11">+M85/K85</f>
        <v>47457.641440117564</v>
      </c>
      <c r="O85" s="43">
        <v>2636320</v>
      </c>
      <c r="P85" s="588">
        <f>+(M85-O85)/O85</f>
        <v>-1.9999848273350732E-2</v>
      </c>
      <c r="Q85" s="477"/>
      <c r="R85" s="43"/>
      <c r="S85" s="43"/>
      <c r="T85" s="43"/>
      <c r="U85" s="43"/>
      <c r="V85" s="43"/>
      <c r="W85" s="43"/>
      <c r="X85" s="43"/>
      <c r="Y85" s="43"/>
      <c r="Z85" s="43">
        <f t="shared" si="10"/>
        <v>2583594</v>
      </c>
      <c r="AA85" s="43"/>
      <c r="AB85" s="43"/>
      <c r="AC85" s="43"/>
      <c r="AD85" s="478">
        <f t="shared" si="9"/>
        <v>2583594</v>
      </c>
      <c r="AE85" s="479" t="s">
        <v>280</v>
      </c>
    </row>
    <row r="86" spans="2:31" s="44" customFormat="1" x14ac:dyDescent="0.25">
      <c r="B86" s="41"/>
      <c r="C86" s="871"/>
      <c r="D86" s="271" t="s">
        <v>43</v>
      </c>
      <c r="E86" s="17" t="s">
        <v>211</v>
      </c>
      <c r="F86" s="18">
        <v>43763</v>
      </c>
      <c r="G86" s="18" t="s">
        <v>312</v>
      </c>
      <c r="H86" s="33" t="s">
        <v>212</v>
      </c>
      <c r="I86" s="33" t="s">
        <v>54</v>
      </c>
      <c r="J86" s="19" t="s">
        <v>6</v>
      </c>
      <c r="K86" s="42">
        <v>35.700000000000003</v>
      </c>
      <c r="L86" s="42" t="s">
        <v>280</v>
      </c>
      <c r="M86" s="43">
        <v>2357025</v>
      </c>
      <c r="N86" s="43">
        <f t="shared" si="11"/>
        <v>66023.109243697472</v>
      </c>
      <c r="O86" s="43">
        <v>2357025</v>
      </c>
      <c r="P86" s="588">
        <f>+(M86-O86)/O86</f>
        <v>0</v>
      </c>
      <c r="Q86" s="477"/>
      <c r="R86" s="43"/>
      <c r="S86" s="43"/>
      <c r="T86" s="43"/>
      <c r="U86" s="43"/>
      <c r="V86" s="43"/>
      <c r="W86" s="43"/>
      <c r="X86" s="43"/>
      <c r="Y86" s="43"/>
      <c r="Z86" s="43">
        <f t="shared" si="10"/>
        <v>2357025</v>
      </c>
      <c r="AA86" s="43"/>
      <c r="AB86" s="43"/>
      <c r="AC86" s="43"/>
      <c r="AD86" s="478">
        <f t="shared" si="9"/>
        <v>2357025</v>
      </c>
      <c r="AE86" s="479" t="s">
        <v>280</v>
      </c>
    </row>
    <row r="87" spans="2:31" s="44" customFormat="1" ht="15.75" thickBot="1" x14ac:dyDescent="0.3">
      <c r="B87" s="41"/>
      <c r="C87" s="872"/>
      <c r="D87" s="271" t="s">
        <v>43</v>
      </c>
      <c r="E87" s="17" t="s">
        <v>213</v>
      </c>
      <c r="F87" s="18">
        <v>43769</v>
      </c>
      <c r="G87" s="18" t="s">
        <v>312</v>
      </c>
      <c r="H87" s="33" t="s">
        <v>214</v>
      </c>
      <c r="I87" s="33" t="s">
        <v>54</v>
      </c>
      <c r="J87" s="19" t="s">
        <v>4</v>
      </c>
      <c r="K87" s="42">
        <v>60.13</v>
      </c>
      <c r="L87" s="42" t="s">
        <v>281</v>
      </c>
      <c r="M87" s="43">
        <v>4133033</v>
      </c>
      <c r="N87" s="43">
        <f t="shared" si="11"/>
        <v>68734.957591884246</v>
      </c>
      <c r="O87" s="43">
        <v>3685001</v>
      </c>
      <c r="P87" s="588">
        <f>+(M87-O87)/O87</f>
        <v>0.12158259929915895</v>
      </c>
      <c r="Q87" s="477"/>
      <c r="R87" s="43"/>
      <c r="S87" s="43"/>
      <c r="T87" s="43"/>
      <c r="U87" s="43"/>
      <c r="V87" s="43"/>
      <c r="W87" s="43"/>
      <c r="X87" s="43"/>
      <c r="Y87" s="43"/>
      <c r="Z87" s="43">
        <v>1720000</v>
      </c>
      <c r="AA87" s="43"/>
      <c r="AB87" s="43"/>
      <c r="AC87" s="43"/>
      <c r="AD87" s="478">
        <f t="shared" si="9"/>
        <v>1720000</v>
      </c>
      <c r="AE87" s="479" t="s">
        <v>342</v>
      </c>
    </row>
    <row r="88" spans="2:31" s="44" customFormat="1" ht="15" customHeight="1" thickBot="1" x14ac:dyDescent="0.3">
      <c r="B88" s="41"/>
      <c r="C88" s="870" t="s">
        <v>34</v>
      </c>
      <c r="D88" s="271" t="s">
        <v>43</v>
      </c>
      <c r="E88" s="22" t="s">
        <v>215</v>
      </c>
      <c r="F88" s="45">
        <v>43782</v>
      </c>
      <c r="G88" s="45" t="s">
        <v>312</v>
      </c>
      <c r="H88" s="46" t="s">
        <v>216</v>
      </c>
      <c r="I88" s="46" t="s">
        <v>54</v>
      </c>
      <c r="J88" s="23" t="s">
        <v>13</v>
      </c>
      <c r="K88" s="24">
        <v>256.44</v>
      </c>
      <c r="L88" s="24" t="s">
        <v>280</v>
      </c>
      <c r="M88" s="25">
        <f>299518.504*64.5</f>
        <v>19318943.508000001</v>
      </c>
      <c r="N88" s="25">
        <f t="shared" si="11"/>
        <v>75335.140804866634</v>
      </c>
      <c r="O88" s="25">
        <f>295829*64.5</f>
        <v>19080970.5</v>
      </c>
      <c r="P88" s="591">
        <f>+(M88-O88)/O88</f>
        <v>1.2471745501624318E-2</v>
      </c>
      <c r="Q88" s="464"/>
      <c r="R88" s="25"/>
      <c r="S88" s="25"/>
      <c r="T88" s="25"/>
      <c r="U88" s="25"/>
      <c r="V88" s="25"/>
      <c r="W88" s="25"/>
      <c r="X88" s="25"/>
      <c r="Y88" s="25"/>
      <c r="Z88" s="25"/>
      <c r="AA88" s="25">
        <f>88093.6776649964*64.5</f>
        <v>5682042.2093922682</v>
      </c>
      <c r="AB88" s="25"/>
      <c r="AC88" s="25"/>
      <c r="AD88" s="420">
        <f t="shared" si="9"/>
        <v>5682042.2093922682</v>
      </c>
      <c r="AE88" s="26" t="s">
        <v>395</v>
      </c>
    </row>
    <row r="89" spans="2:31" s="44" customFormat="1" ht="15.75" thickBot="1" x14ac:dyDescent="0.3">
      <c r="B89" s="41"/>
      <c r="C89" s="871"/>
      <c r="D89" s="271" t="s">
        <v>43</v>
      </c>
      <c r="E89" s="182" t="s">
        <v>215</v>
      </c>
      <c r="F89" s="156">
        <v>43782</v>
      </c>
      <c r="G89" s="156" t="s">
        <v>312</v>
      </c>
      <c r="H89" s="189" t="s">
        <v>336</v>
      </c>
      <c r="I89" s="189" t="s">
        <v>55</v>
      </c>
      <c r="J89" s="155" t="s">
        <v>13</v>
      </c>
      <c r="K89" s="157">
        <v>35.6</v>
      </c>
      <c r="L89" s="157" t="s">
        <v>280</v>
      </c>
      <c r="M89" s="158">
        <f>19466.0374538462*64.5</f>
        <v>1255559.4157730797</v>
      </c>
      <c r="N89" s="158"/>
      <c r="O89" s="158"/>
      <c r="P89" s="158" t="s">
        <v>279</v>
      </c>
      <c r="Q89" s="452"/>
      <c r="R89" s="158"/>
      <c r="S89" s="158"/>
      <c r="T89" s="158"/>
      <c r="U89" s="158"/>
      <c r="V89" s="158"/>
      <c r="W89" s="158"/>
      <c r="X89" s="158"/>
      <c r="Y89" s="158"/>
      <c r="Z89" s="158"/>
      <c r="AA89" s="158">
        <f>5725.30513464996*64.5</f>
        <v>369282.1811849224</v>
      </c>
      <c r="AB89" s="158"/>
      <c r="AC89" s="158"/>
      <c r="AD89" s="417">
        <f t="shared" si="9"/>
        <v>369282.1811849224</v>
      </c>
      <c r="AE89" s="26" t="s">
        <v>343</v>
      </c>
    </row>
    <row r="90" spans="2:31" s="44" customFormat="1" x14ac:dyDescent="0.25">
      <c r="B90" s="41"/>
      <c r="C90" s="871"/>
      <c r="D90" s="271" t="s">
        <v>43</v>
      </c>
      <c r="E90" s="182" t="s">
        <v>215</v>
      </c>
      <c r="F90" s="156">
        <v>43782</v>
      </c>
      <c r="G90" s="156" t="s">
        <v>312</v>
      </c>
      <c r="H90" s="189" t="s">
        <v>344</v>
      </c>
      <c r="I90" s="189" t="s">
        <v>55</v>
      </c>
      <c r="J90" s="155" t="s">
        <v>13</v>
      </c>
      <c r="K90" s="157">
        <v>23.53</v>
      </c>
      <c r="L90" s="157" t="s">
        <v>280</v>
      </c>
      <c r="M90" s="158">
        <f>21015.4584769231*64.5</f>
        <v>1355497.0717615399</v>
      </c>
      <c r="N90" s="158"/>
      <c r="O90" s="158"/>
      <c r="P90" s="158" t="s">
        <v>279</v>
      </c>
      <c r="Q90" s="452"/>
      <c r="R90" s="158"/>
      <c r="S90" s="158"/>
      <c r="T90" s="158"/>
      <c r="U90" s="158"/>
      <c r="V90" s="158"/>
      <c r="W90" s="158"/>
      <c r="X90" s="158"/>
      <c r="Y90" s="158"/>
      <c r="Z90" s="158"/>
      <c r="AA90" s="158">
        <f>6181.01720035361*64.5</f>
        <v>398675.60942280781</v>
      </c>
      <c r="AB90" s="158"/>
      <c r="AC90" s="158"/>
      <c r="AD90" s="417">
        <f t="shared" si="9"/>
        <v>398675.60942280781</v>
      </c>
      <c r="AE90" s="26" t="s">
        <v>343</v>
      </c>
    </row>
    <row r="91" spans="2:31" s="44" customFormat="1" x14ac:dyDescent="0.25">
      <c r="B91" s="41"/>
      <c r="C91" s="871"/>
      <c r="D91" s="271" t="s">
        <v>43</v>
      </c>
      <c r="E91" s="182" t="s">
        <v>217</v>
      </c>
      <c r="F91" s="156">
        <v>43789</v>
      </c>
      <c r="G91" s="156" t="s">
        <v>312</v>
      </c>
      <c r="H91" s="189" t="s">
        <v>218</v>
      </c>
      <c r="I91" s="189" t="s">
        <v>54</v>
      </c>
      <c r="J91" s="155" t="s">
        <v>6</v>
      </c>
      <c r="K91" s="157">
        <v>40.86</v>
      </c>
      <c r="L91" s="157" t="s">
        <v>280</v>
      </c>
      <c r="M91" s="158">
        <f>38500*67</f>
        <v>2579500</v>
      </c>
      <c r="N91" s="158">
        <f t="shared" si="11"/>
        <v>63130.200685266762</v>
      </c>
      <c r="O91" s="158">
        <v>2757069</v>
      </c>
      <c r="P91" s="585">
        <f t="shared" ref="P91:P96" si="12">+(M91-O91)/O91</f>
        <v>-6.4404989501532242E-2</v>
      </c>
      <c r="Q91" s="452"/>
      <c r="R91" s="158"/>
      <c r="S91" s="158"/>
      <c r="T91" s="158"/>
      <c r="U91" s="158"/>
      <c r="V91" s="158"/>
      <c r="W91" s="158"/>
      <c r="X91" s="158"/>
      <c r="Y91" s="158"/>
      <c r="Z91" s="158"/>
      <c r="AA91" s="158">
        <f>38500*67</f>
        <v>2579500</v>
      </c>
      <c r="AB91" s="158"/>
      <c r="AC91" s="158"/>
      <c r="AD91" s="417">
        <f t="shared" si="9"/>
        <v>2579500</v>
      </c>
      <c r="AE91" s="421" t="s">
        <v>345</v>
      </c>
    </row>
    <row r="92" spans="2:31" s="44" customFormat="1" x14ac:dyDescent="0.25">
      <c r="B92" s="41"/>
      <c r="C92" s="871"/>
      <c r="D92" s="271" t="s">
        <v>43</v>
      </c>
      <c r="E92" s="185" t="s">
        <v>217</v>
      </c>
      <c r="F92" s="269">
        <v>43789</v>
      </c>
      <c r="G92" s="269" t="s">
        <v>312</v>
      </c>
      <c r="H92" s="189" t="s">
        <v>195</v>
      </c>
      <c r="I92" s="189" t="s">
        <v>54</v>
      </c>
      <c r="J92" s="155" t="s">
        <v>6</v>
      </c>
      <c r="K92" s="157">
        <v>40.86</v>
      </c>
      <c r="L92" s="157" t="s">
        <v>280</v>
      </c>
      <c r="M92" s="158">
        <f>38500*67</f>
        <v>2579500</v>
      </c>
      <c r="N92" s="187">
        <f t="shared" si="11"/>
        <v>63130.200685266762</v>
      </c>
      <c r="O92" s="187">
        <v>2757069</v>
      </c>
      <c r="P92" s="585">
        <f t="shared" si="12"/>
        <v>-6.4404989501532242E-2</v>
      </c>
      <c r="Q92" s="453"/>
      <c r="R92" s="187"/>
      <c r="S92" s="187"/>
      <c r="T92" s="187"/>
      <c r="U92" s="187"/>
      <c r="V92" s="187"/>
      <c r="W92" s="187"/>
      <c r="X92" s="187"/>
      <c r="Y92" s="187"/>
      <c r="Z92" s="187"/>
      <c r="AA92" s="158">
        <f>38500*67</f>
        <v>2579500</v>
      </c>
      <c r="AB92" s="187"/>
      <c r="AC92" s="187"/>
      <c r="AD92" s="417">
        <f t="shared" si="9"/>
        <v>2579500</v>
      </c>
      <c r="AE92" s="421" t="s">
        <v>345</v>
      </c>
    </row>
    <row r="93" spans="2:31" s="44" customFormat="1" ht="15.75" thickBot="1" x14ac:dyDescent="0.3">
      <c r="B93" s="41"/>
      <c r="C93" s="871"/>
      <c r="D93" s="271" t="s">
        <v>43</v>
      </c>
      <c r="E93" s="185" t="s">
        <v>219</v>
      </c>
      <c r="F93" s="269">
        <v>43797</v>
      </c>
      <c r="G93" s="269" t="s">
        <v>60</v>
      </c>
      <c r="H93" s="480" t="s">
        <v>95</v>
      </c>
      <c r="I93" s="480" t="s">
        <v>54</v>
      </c>
      <c r="J93" s="242" t="s">
        <v>6</v>
      </c>
      <c r="K93" s="243">
        <v>74.5</v>
      </c>
      <c r="L93" s="243" t="s">
        <v>280</v>
      </c>
      <c r="M93" s="187">
        <v>3264966</v>
      </c>
      <c r="N93" s="187">
        <f t="shared" si="11"/>
        <v>43825.046979865772</v>
      </c>
      <c r="O93" s="187">
        <v>4836987</v>
      </c>
      <c r="P93" s="585">
        <f t="shared" si="12"/>
        <v>-0.32500004651656084</v>
      </c>
      <c r="Q93" s="453"/>
      <c r="R93" s="187"/>
      <c r="S93" s="187"/>
      <c r="T93" s="187"/>
      <c r="U93" s="187"/>
      <c r="V93" s="187"/>
      <c r="W93" s="187"/>
      <c r="X93" s="187"/>
      <c r="Y93" s="187"/>
      <c r="Z93" s="187"/>
      <c r="AA93" s="187">
        <v>3264966</v>
      </c>
      <c r="AB93" s="187"/>
      <c r="AC93" s="187"/>
      <c r="AD93" s="436">
        <f t="shared" si="9"/>
        <v>3264966</v>
      </c>
      <c r="AE93" s="437" t="s">
        <v>346</v>
      </c>
    </row>
    <row r="94" spans="2:31" s="44" customFormat="1" x14ac:dyDescent="0.25">
      <c r="B94" s="41"/>
      <c r="C94" s="932" t="s">
        <v>35</v>
      </c>
      <c r="D94" s="271" t="s">
        <v>43</v>
      </c>
      <c r="E94" s="286" t="s">
        <v>220</v>
      </c>
      <c r="F94" s="287">
        <v>43805</v>
      </c>
      <c r="G94" s="287" t="s">
        <v>312</v>
      </c>
      <c r="H94" s="214" t="s">
        <v>221</v>
      </c>
      <c r="I94" s="214" t="s">
        <v>54</v>
      </c>
      <c r="J94" s="288" t="s">
        <v>13</v>
      </c>
      <c r="K94" s="289">
        <v>256.44</v>
      </c>
      <c r="L94" s="289" t="s">
        <v>280</v>
      </c>
      <c r="M94" s="63">
        <f>295829*67</f>
        <v>19820543</v>
      </c>
      <c r="N94" s="63">
        <f t="shared" si="11"/>
        <v>77291.151926376537</v>
      </c>
      <c r="O94" s="63">
        <f>295827*67</f>
        <v>19820409</v>
      </c>
      <c r="P94" s="594">
        <f t="shared" si="12"/>
        <v>6.7607081165681293E-6</v>
      </c>
      <c r="Q94" s="481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>
        <f>+M94</f>
        <v>19820543</v>
      </c>
      <c r="AC94" s="63"/>
      <c r="AD94" s="64">
        <f>SUM(Q94:AC94)</f>
        <v>19820543</v>
      </c>
      <c r="AE94" s="65" t="s">
        <v>59</v>
      </c>
    </row>
    <row r="95" spans="2:31" s="44" customFormat="1" x14ac:dyDescent="0.25">
      <c r="B95" s="41"/>
      <c r="C95" s="933"/>
      <c r="D95" s="271" t="s">
        <v>43</v>
      </c>
      <c r="E95" s="260" t="s">
        <v>222</v>
      </c>
      <c r="F95" s="272">
        <v>43826</v>
      </c>
      <c r="G95" s="272" t="s">
        <v>312</v>
      </c>
      <c r="H95" s="223" t="s">
        <v>207</v>
      </c>
      <c r="I95" s="223" t="s">
        <v>54</v>
      </c>
      <c r="J95" s="222" t="s">
        <v>4</v>
      </c>
      <c r="K95" s="290">
        <v>47.77</v>
      </c>
      <c r="L95" s="290" t="s">
        <v>281</v>
      </c>
      <c r="M95" s="49">
        <v>3968726</v>
      </c>
      <c r="N95" s="49">
        <f>+M95/K95</f>
        <v>83079.882771613979</v>
      </c>
      <c r="O95" s="49">
        <v>3370733</v>
      </c>
      <c r="P95" s="592">
        <f t="shared" si="12"/>
        <v>0.17740740663825941</v>
      </c>
      <c r="Q95" s="482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>
        <f>10000*80+3600*80+800*86</f>
        <v>1156800</v>
      </c>
      <c r="AC95" s="49"/>
      <c r="AD95" s="204">
        <f>SUM(Q95:AC95)</f>
        <v>1156800</v>
      </c>
      <c r="AE95" s="227" t="s">
        <v>223</v>
      </c>
    </row>
    <row r="96" spans="2:31" s="44" customFormat="1" ht="15.75" thickBot="1" x14ac:dyDescent="0.3">
      <c r="B96" s="41"/>
      <c r="C96" s="934"/>
      <c r="D96" s="483" t="s">
        <v>43</v>
      </c>
      <c r="E96" s="12" t="s">
        <v>224</v>
      </c>
      <c r="F96" s="66">
        <v>43829</v>
      </c>
      <c r="G96" s="66" t="s">
        <v>312</v>
      </c>
      <c r="H96" s="67" t="s">
        <v>225</v>
      </c>
      <c r="I96" s="67" t="s">
        <v>54</v>
      </c>
      <c r="J96" s="3" t="s">
        <v>4</v>
      </c>
      <c r="K96" s="68">
        <v>60.13</v>
      </c>
      <c r="L96" s="68" t="s">
        <v>281</v>
      </c>
      <c r="M96" s="69">
        <v>5245374</v>
      </c>
      <c r="N96" s="69">
        <f>+M96/K96</f>
        <v>87233.893231332113</v>
      </c>
      <c r="O96" s="69">
        <v>4119297</v>
      </c>
      <c r="P96" s="593">
        <f t="shared" si="12"/>
        <v>0.27336630497873787</v>
      </c>
      <c r="Q96" s="484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>
        <v>1580000</v>
      </c>
      <c r="AC96" s="69"/>
      <c r="AD96" s="485">
        <f>SUM(Q96:AC96)</f>
        <v>1580000</v>
      </c>
      <c r="AE96" s="486" t="s">
        <v>347</v>
      </c>
    </row>
    <row r="97" spans="2:33" x14ac:dyDescent="0.25">
      <c r="B97" s="4"/>
      <c r="C97" s="285"/>
      <c r="D97" s="285"/>
      <c r="E97" s="36"/>
      <c r="F97" s="35"/>
      <c r="G97" s="35"/>
      <c r="H97" s="36"/>
      <c r="I97" s="36"/>
      <c r="J97" s="36"/>
      <c r="K97" s="36"/>
      <c r="L97" s="36"/>
      <c r="M97" s="37"/>
      <c r="N97" s="38"/>
      <c r="O97" s="38"/>
      <c r="P97" s="38"/>
      <c r="Q97" s="38"/>
      <c r="R97" s="487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9"/>
      <c r="AF97" s="488"/>
    </row>
    <row r="98" spans="2:33" x14ac:dyDescent="0.25">
      <c r="B98" s="2"/>
      <c r="K98" s="14">
        <f>SUM(K5:K97)</f>
        <v>4899.1099999999988</v>
      </c>
      <c r="L98" s="14"/>
      <c r="M98" s="8">
        <f>SUM(M5:M97)</f>
        <v>222354272.56593472</v>
      </c>
      <c r="P98" s="8"/>
      <c r="Q98" s="8">
        <f t="shared" ref="Q98:AC98" si="13">SUM(Q5:Q97)</f>
        <v>81915</v>
      </c>
      <c r="R98" s="8">
        <f t="shared" si="13"/>
        <v>4202000</v>
      </c>
      <c r="S98" s="8">
        <f t="shared" si="13"/>
        <v>415000</v>
      </c>
      <c r="T98" s="8">
        <f t="shared" si="13"/>
        <v>13018277</v>
      </c>
      <c r="U98" s="8">
        <f t="shared" si="13"/>
        <v>400000</v>
      </c>
      <c r="V98" s="8">
        <f t="shared" si="13"/>
        <v>8432500</v>
      </c>
      <c r="W98" s="8">
        <f t="shared" si="13"/>
        <v>13547081.109999999</v>
      </c>
      <c r="X98" s="8">
        <f t="shared" si="13"/>
        <v>14202776</v>
      </c>
      <c r="Y98" s="8">
        <f t="shared" si="13"/>
        <v>14441971.310000001</v>
      </c>
      <c r="Z98" s="8">
        <f t="shared" si="13"/>
        <v>25281615.150399998</v>
      </c>
      <c r="AA98" s="8">
        <f t="shared" si="13"/>
        <v>16231741.999999998</v>
      </c>
      <c r="AB98" s="8">
        <f t="shared" si="13"/>
        <v>40981394</v>
      </c>
      <c r="AC98" s="8">
        <f t="shared" si="13"/>
        <v>0</v>
      </c>
      <c r="AD98" s="13">
        <f>SUM(Q98:AC98)</f>
        <v>151236271.5704</v>
      </c>
      <c r="AE98" s="10">
        <f>+SUM(AD5:AD97)-AD98</f>
        <v>0</v>
      </c>
    </row>
    <row r="99" spans="2:33" x14ac:dyDescent="0.25">
      <c r="B99" s="2"/>
      <c r="K99" s="14"/>
      <c r="L99" s="14"/>
      <c r="AD99" s="58"/>
      <c r="AE99" s="10"/>
    </row>
    <row r="100" spans="2:33" x14ac:dyDescent="0.25">
      <c r="B100" s="2"/>
      <c r="K100" s="14"/>
      <c r="L100" s="14"/>
      <c r="AD100" s="58"/>
      <c r="AE100" s="10"/>
    </row>
    <row r="101" spans="2:33" x14ac:dyDescent="0.25">
      <c r="B101" s="2"/>
      <c r="K101" s="219"/>
      <c r="L101" s="219"/>
      <c r="AD101" s="58"/>
      <c r="AE101" s="10"/>
    </row>
    <row r="102" spans="2:33" x14ac:dyDescent="0.25">
      <c r="B102" s="2"/>
      <c r="K102" s="14"/>
      <c r="L102" s="14"/>
      <c r="AD102" s="58"/>
      <c r="AE102" s="10"/>
    </row>
    <row r="103" spans="2:33" x14ac:dyDescent="0.25">
      <c r="B103" s="2"/>
      <c r="E103" s="54"/>
      <c r="K103" s="14"/>
      <c r="L103" s="14"/>
      <c r="AD103" s="58"/>
      <c r="AE103" s="10"/>
    </row>
    <row r="104" spans="2:33" x14ac:dyDescent="0.25">
      <c r="B104" s="2"/>
      <c r="E104" s="54"/>
      <c r="K104" s="14"/>
      <c r="L104" s="14"/>
      <c r="AD104" s="58"/>
      <c r="AE104" s="10"/>
    </row>
    <row r="105" spans="2:33" ht="15.75" thickBot="1" x14ac:dyDescent="0.3">
      <c r="B105" s="2"/>
      <c r="E105" s="54"/>
      <c r="K105" s="14"/>
      <c r="L105" s="14"/>
      <c r="O105" s="489">
        <v>43830</v>
      </c>
      <c r="AD105" s="58"/>
      <c r="AE105" s="10"/>
    </row>
    <row r="106" spans="2:33" x14ac:dyDescent="0.25">
      <c r="B106" s="2"/>
      <c r="E106" s="54"/>
      <c r="F106" s="132"/>
      <c r="G106" s="74"/>
      <c r="H106" s="73"/>
      <c r="I106" s="634"/>
      <c r="J106" s="73"/>
      <c r="K106" s="75"/>
      <c r="L106" s="75"/>
      <c r="M106" s="59"/>
      <c r="N106" s="59"/>
      <c r="O106" s="614"/>
      <c r="AD106" s="58"/>
      <c r="AE106" s="10"/>
    </row>
    <row r="107" spans="2:33" ht="15" customHeight="1" x14ac:dyDescent="0.25">
      <c r="B107" s="2"/>
      <c r="E107" s="54"/>
      <c r="F107" s="133"/>
      <c r="G107" s="798" t="s">
        <v>348</v>
      </c>
      <c r="H107" s="798"/>
      <c r="I107" s="798"/>
      <c r="J107" s="798"/>
      <c r="K107" s="798"/>
      <c r="L107" s="798"/>
      <c r="M107" s="798"/>
      <c r="N107" s="798"/>
      <c r="O107" s="615"/>
      <c r="AD107" s="58"/>
      <c r="AE107" s="10"/>
    </row>
    <row r="108" spans="2:33" ht="15" customHeight="1" x14ac:dyDescent="0.25">
      <c r="B108" s="2"/>
      <c r="E108" s="54"/>
      <c r="F108" s="133"/>
      <c r="G108" s="131"/>
      <c r="H108" s="131"/>
      <c r="I108" s="131"/>
      <c r="J108" s="131"/>
      <c r="K108" s="131"/>
      <c r="L108" s="131"/>
      <c r="M108" s="131"/>
      <c r="N108" s="131"/>
      <c r="O108" s="616"/>
      <c r="AD108" s="58"/>
      <c r="AE108" s="10"/>
    </row>
    <row r="109" spans="2:33" ht="15.75" thickBot="1" x14ac:dyDescent="0.3">
      <c r="B109" s="2"/>
      <c r="E109" s="54"/>
      <c r="F109" s="134"/>
      <c r="G109" s="80"/>
      <c r="H109" s="79"/>
      <c r="I109" s="635"/>
      <c r="J109" s="79"/>
      <c r="K109" s="79"/>
      <c r="L109" s="79"/>
      <c r="M109" s="61"/>
      <c r="N109" s="61"/>
      <c r="O109" s="620"/>
      <c r="P109" s="8"/>
      <c r="AC109"/>
      <c r="AF109" s="6"/>
    </row>
    <row r="110" spans="2:33" ht="15.75" thickBot="1" x14ac:dyDescent="0.3">
      <c r="B110" s="2"/>
      <c r="E110" s="54"/>
      <c r="F110" s="134"/>
      <c r="G110" s="80"/>
      <c r="H110" s="79"/>
      <c r="I110" s="635"/>
      <c r="J110" s="79"/>
      <c r="K110" s="618" t="s">
        <v>349</v>
      </c>
      <c r="L110" s="619"/>
      <c r="M110" s="491">
        <f>+SUM(AB94:AB96)</f>
        <v>22557343</v>
      </c>
      <c r="N110" s="61"/>
      <c r="O110" s="620"/>
      <c r="P110" s="8"/>
      <c r="AC110"/>
      <c r="AD110" s="2"/>
    </row>
    <row r="111" spans="2:33" ht="15.75" thickBot="1" x14ac:dyDescent="0.3">
      <c r="B111" s="2"/>
      <c r="E111" s="54"/>
      <c r="F111" s="135"/>
      <c r="G111" s="80"/>
      <c r="H111" s="79"/>
      <c r="I111" s="81"/>
      <c r="J111" s="81"/>
      <c r="K111" s="81"/>
      <c r="L111" s="81"/>
      <c r="M111" s="61"/>
      <c r="N111" s="61"/>
      <c r="O111" s="620"/>
      <c r="P111" s="8"/>
      <c r="AC111"/>
      <c r="AD111" s="2"/>
      <c r="AG111" s="2"/>
    </row>
    <row r="112" spans="2:33" ht="15.75" thickBot="1" x14ac:dyDescent="0.3">
      <c r="B112" s="2"/>
      <c r="E112" s="54"/>
      <c r="F112" s="134"/>
      <c r="G112" s="80"/>
      <c r="H112" s="79"/>
      <c r="I112" s="807" t="s">
        <v>350</v>
      </c>
      <c r="J112" s="808"/>
      <c r="K112" s="493">
        <f>+M98</f>
        <v>222354272.56593472</v>
      </c>
      <c r="L112" s="81"/>
      <c r="M112" s="61"/>
      <c r="N112" s="61"/>
      <c r="O112" s="620"/>
      <c r="P112" s="8"/>
      <c r="AC112"/>
      <c r="AD112" s="2"/>
      <c r="AG112" s="2"/>
    </row>
    <row r="113" spans="1:33" ht="15.75" thickBot="1" x14ac:dyDescent="0.3">
      <c r="B113" s="2"/>
      <c r="E113" s="54"/>
      <c r="F113" s="134"/>
      <c r="G113" s="80"/>
      <c r="H113" s="79"/>
      <c r="I113" s="807" t="s">
        <v>42</v>
      </c>
      <c r="J113" s="808"/>
      <c r="K113" s="493">
        <f>+AD98</f>
        <v>151236271.5704</v>
      </c>
      <c r="L113" s="81"/>
      <c r="M113" s="61"/>
      <c r="N113" s="61"/>
      <c r="O113" s="620"/>
      <c r="P113" s="8"/>
      <c r="AC113"/>
      <c r="AD113" s="2"/>
      <c r="AG113" s="2"/>
    </row>
    <row r="114" spans="1:33" s="55" customFormat="1" ht="15.75" thickBot="1" x14ac:dyDescent="0.3">
      <c r="A114"/>
      <c r="B114" s="2"/>
      <c r="C114"/>
      <c r="D114"/>
      <c r="E114" s="54"/>
      <c r="F114" s="136"/>
      <c r="G114" s="84"/>
      <c r="H114" s="85"/>
      <c r="I114" s="85"/>
      <c r="J114" s="85"/>
      <c r="K114" s="86"/>
      <c r="L114" s="86"/>
      <c r="M114" s="61"/>
      <c r="N114" s="61"/>
      <c r="O114" s="620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D114" s="54"/>
      <c r="AG114" s="54"/>
    </row>
    <row r="115" spans="1:33" ht="15.75" thickBot="1" x14ac:dyDescent="0.3">
      <c r="B115" s="2"/>
      <c r="E115" s="54"/>
      <c r="F115" s="134"/>
      <c r="G115" s="807"/>
      <c r="H115" s="808"/>
      <c r="I115" s="894"/>
      <c r="J115" s="599" t="s">
        <v>56</v>
      </c>
      <c r="K115" s="922" t="s">
        <v>57</v>
      </c>
      <c r="L115" s="923"/>
      <c r="M115" s="61"/>
      <c r="N115" s="61"/>
      <c r="O115" s="620"/>
      <c r="P115" s="8"/>
      <c r="AC115"/>
      <c r="AD115" s="2"/>
      <c r="AG115" s="2"/>
    </row>
    <row r="116" spans="1:33" x14ac:dyDescent="0.25">
      <c r="B116" s="2"/>
      <c r="E116" s="54"/>
      <c r="F116" s="134"/>
      <c r="G116" s="822" t="s">
        <v>54</v>
      </c>
      <c r="H116" s="823"/>
      <c r="I116" s="905"/>
      <c r="J116" s="598">
        <f ca="1">+SUMIF(I5:I97,G116,AD5:AD93)</f>
        <v>141903230.7377739</v>
      </c>
      <c r="K116" s="924">
        <f>+SUMIF($I$5:$I$97,G116,$M$5:$M$97)</f>
        <v>209802520.92800003</v>
      </c>
      <c r="L116" s="925"/>
      <c r="M116" s="61"/>
      <c r="N116" s="61"/>
      <c r="O116" s="620"/>
      <c r="P116" s="8"/>
      <c r="AC116"/>
      <c r="AD116" s="2"/>
      <c r="AG116" s="2"/>
    </row>
    <row r="117" spans="1:33" ht="15.75" thickBot="1" x14ac:dyDescent="0.3">
      <c r="B117" s="2"/>
      <c r="E117" s="54"/>
      <c r="F117" s="134"/>
      <c r="G117" s="829" t="s">
        <v>55</v>
      </c>
      <c r="H117" s="830"/>
      <c r="I117" s="904"/>
      <c r="J117" s="597">
        <f>+SUMIF(I5:I97,G117,AD5:AD97)</f>
        <v>9333040.8326261081</v>
      </c>
      <c r="K117" s="916">
        <f>+SUMIF($I$5:$I$97,G117,$M$5:$M$97)</f>
        <v>12551751.637934616</v>
      </c>
      <c r="L117" s="917"/>
      <c r="M117" s="61"/>
      <c r="N117" s="61"/>
      <c r="O117" s="620"/>
      <c r="P117" s="8"/>
      <c r="AC117"/>
      <c r="AD117" s="5"/>
      <c r="AG117" s="2"/>
    </row>
    <row r="118" spans="1:33" x14ac:dyDescent="0.25">
      <c r="B118" s="2"/>
      <c r="E118" s="54"/>
      <c r="F118" s="134"/>
      <c r="G118" s="836" t="s">
        <v>351</v>
      </c>
      <c r="H118" s="837"/>
      <c r="I118" s="903"/>
      <c r="J118" s="596">
        <f ca="1">+J116/M125</f>
        <v>11825269.228147825</v>
      </c>
      <c r="K118" s="920">
        <f>+K116/M125</f>
        <v>17483543.410666671</v>
      </c>
      <c r="L118" s="921"/>
      <c r="M118" s="492"/>
      <c r="N118" s="61"/>
      <c r="O118" s="620"/>
      <c r="P118" s="8"/>
      <c r="AC118"/>
    </row>
    <row r="119" spans="1:33" ht="15.75" thickBot="1" x14ac:dyDescent="0.3">
      <c r="B119" s="2"/>
      <c r="E119" s="54"/>
      <c r="F119" s="134"/>
      <c r="G119" s="843" t="s">
        <v>352</v>
      </c>
      <c r="H119" s="844"/>
      <c r="I119" s="902"/>
      <c r="J119" s="595">
        <f>+J117/M125</f>
        <v>777753.40271884238</v>
      </c>
      <c r="K119" s="918">
        <f>+K117/M125</f>
        <v>1045979.3031612179</v>
      </c>
      <c r="L119" s="919"/>
      <c r="M119" s="492"/>
      <c r="N119" s="61"/>
      <c r="O119" s="620"/>
      <c r="P119" s="8"/>
      <c r="AC119"/>
    </row>
    <row r="120" spans="1:33" ht="15.75" thickBot="1" x14ac:dyDescent="0.3">
      <c r="B120" s="2"/>
      <c r="E120" s="54"/>
      <c r="F120" s="136"/>
      <c r="G120" s="84"/>
      <c r="H120" s="85"/>
      <c r="I120" s="85"/>
      <c r="J120" s="79"/>
      <c r="K120" s="86"/>
      <c r="L120" s="86"/>
      <c r="M120" s="492"/>
      <c r="N120" s="61"/>
      <c r="O120" s="620"/>
      <c r="P120" s="8"/>
      <c r="AC120"/>
    </row>
    <row r="121" spans="1:33" x14ac:dyDescent="0.25">
      <c r="B121" s="2"/>
      <c r="E121" s="54"/>
      <c r="F121" s="134"/>
      <c r="G121" s="80"/>
      <c r="H121" s="85"/>
      <c r="I121" s="897" t="s">
        <v>58</v>
      </c>
      <c r="J121" s="898"/>
      <c r="K121" s="601">
        <f>+K112/M125</f>
        <v>18529522.713827893</v>
      </c>
      <c r="L121" s="86"/>
      <c r="M121" s="61"/>
      <c r="N121" s="61"/>
      <c r="O121" s="620"/>
      <c r="P121" s="8"/>
      <c r="AC121"/>
    </row>
    <row r="122" spans="1:33" x14ac:dyDescent="0.25">
      <c r="B122" s="2"/>
      <c r="E122" s="54"/>
      <c r="F122" s="134"/>
      <c r="G122" s="80"/>
      <c r="H122" s="85"/>
      <c r="I122" s="895" t="s">
        <v>41</v>
      </c>
      <c r="J122" s="896"/>
      <c r="K122" s="602">
        <f>+K113/M125</f>
        <v>12603022.630866667</v>
      </c>
      <c r="L122" s="86"/>
      <c r="M122" s="61"/>
      <c r="N122" s="61"/>
      <c r="O122" s="620"/>
      <c r="P122" s="8"/>
      <c r="AC122"/>
    </row>
    <row r="123" spans="1:33" ht="15.75" thickBot="1" x14ac:dyDescent="0.3">
      <c r="B123" s="2"/>
      <c r="E123" s="54"/>
      <c r="F123" s="134"/>
      <c r="G123" s="80"/>
      <c r="H123" s="85"/>
      <c r="I123" s="906" t="s">
        <v>353</v>
      </c>
      <c r="J123" s="907"/>
      <c r="K123" s="603">
        <f>+L140/M125</f>
        <v>6.166666666666667</v>
      </c>
      <c r="L123" s="86"/>
      <c r="M123" s="61"/>
      <c r="N123" s="61"/>
      <c r="O123" s="620"/>
      <c r="P123" s="8"/>
      <c r="AC123"/>
    </row>
    <row r="124" spans="1:33" ht="15.75" thickBot="1" x14ac:dyDescent="0.3">
      <c r="B124" s="2"/>
      <c r="E124" s="54"/>
      <c r="F124" s="136"/>
      <c r="G124" s="84"/>
      <c r="H124" s="83"/>
      <c r="I124" s="83"/>
      <c r="J124" s="86"/>
      <c r="K124" s="86"/>
      <c r="L124" s="86"/>
      <c r="M124" s="61"/>
      <c r="N124" s="494"/>
      <c r="O124" s="490"/>
    </row>
    <row r="125" spans="1:33" ht="15.75" thickBot="1" x14ac:dyDescent="0.3">
      <c r="B125" s="2"/>
      <c r="E125" s="54"/>
      <c r="F125" s="135"/>
      <c r="G125" s="82"/>
      <c r="H125" s="81"/>
      <c r="I125" s="81"/>
      <c r="J125" s="79"/>
      <c r="K125" s="79"/>
      <c r="L125" s="87" t="s">
        <v>26</v>
      </c>
      <c r="M125" s="88">
        <v>12</v>
      </c>
      <c r="N125" s="61"/>
      <c r="O125" s="490"/>
    </row>
    <row r="126" spans="1:33" ht="15.75" thickBot="1" x14ac:dyDescent="0.3">
      <c r="B126" s="2"/>
      <c r="E126" s="54"/>
      <c r="F126" s="134"/>
      <c r="G126" s="89" t="s">
        <v>21</v>
      </c>
      <c r="H126" s="90" t="s">
        <v>18</v>
      </c>
      <c r="I126" s="90" t="s">
        <v>19</v>
      </c>
      <c r="J126" s="91" t="s">
        <v>40</v>
      </c>
      <c r="K126" s="91" t="s">
        <v>20</v>
      </c>
      <c r="L126" s="92" t="s">
        <v>16</v>
      </c>
      <c r="M126" s="92" t="s">
        <v>32</v>
      </c>
      <c r="N126" s="61"/>
      <c r="O126" s="490"/>
      <c r="P126" s="61"/>
      <c r="Q126" s="61"/>
      <c r="R126"/>
      <c r="S126"/>
      <c r="T126"/>
      <c r="U126"/>
      <c r="V126"/>
      <c r="W126" s="2"/>
      <c r="X126"/>
      <c r="Y126"/>
      <c r="Z126"/>
      <c r="AA126"/>
      <c r="AB126"/>
      <c r="AC126"/>
    </row>
    <row r="127" spans="1:33" x14ac:dyDescent="0.25">
      <c r="B127" s="2"/>
      <c r="E127" s="54"/>
      <c r="F127" s="134"/>
      <c r="G127" s="93" t="s">
        <v>4</v>
      </c>
      <c r="H127" s="161">
        <f>+SUMIF($J$5:$J$97,G127,$M$5:$M$97)</f>
        <v>39232031</v>
      </c>
      <c r="I127" s="162">
        <f>+SUMIF($J$5:$J$97,G127,$R$5:$R$97)+SUMIF($J$5:$J$97,G127,$S$5:$S$97)+SUMIF($J$5:$J$97,G127,$T$5:$T$97)+SUMIF($J$5:$J$97,G127,$U$5:$U$97)+SUMIF($J$5:$J$97,G127,$V$5:$V$97)+SUMIF($J$5:$J$97,G127,$W$5:$AB$97)+SUMIF($J$5:$J$97,G127,$X$5:$X$97)+SUMIF($J$5:$J$97,G127,$AB$5:$AB$97)+SUMIF($J$5:$J$97,G127,$Q$5:$Q$97)+SUMIF($J$5:$J$97,G127,$Y$5:$Y$97)+SUMIF($J$5:$J$97,G127,$Z$5:$Z$97)+SUMIF($J$5:$J$97,G127,$AA$5:$AA$97)+SUMIF($J$5:$J$97,G127,$AC$5:$AC$97)</f>
        <v>23817516</v>
      </c>
      <c r="J127" s="162">
        <f>+I127/$M$125</f>
        <v>1984793</v>
      </c>
      <c r="K127" s="94">
        <f>+J127/$J$140</f>
        <v>0.1574854745669462</v>
      </c>
      <c r="L127" s="95">
        <f>+COUNTIFS($I$5:$I$97,$G$116,$J$5:$J$97,G127)</f>
        <v>14</v>
      </c>
      <c r="M127" s="96">
        <f>+COUNTIFS($I$5:$I$97,$G$117,$J$5:$J$97,G127)</f>
        <v>0</v>
      </c>
      <c r="N127" s="61"/>
      <c r="O127" s="490"/>
      <c r="P127" s="61"/>
      <c r="Q127" s="61"/>
      <c r="R127"/>
      <c r="S127"/>
      <c r="T127"/>
      <c r="U127"/>
      <c r="V127"/>
      <c r="W127" s="2"/>
      <c r="X127"/>
      <c r="Y127"/>
      <c r="Z127"/>
      <c r="AA127"/>
      <c r="AB127"/>
      <c r="AC127"/>
    </row>
    <row r="128" spans="1:33" x14ac:dyDescent="0.25">
      <c r="B128" s="2"/>
      <c r="E128" s="54"/>
      <c r="F128" s="134"/>
      <c r="G128" s="97" t="s">
        <v>9</v>
      </c>
      <c r="H128" s="163">
        <f>+SUMIF($J$5:$J$97,G128,$M$5:$M$97)</f>
        <v>17231735.359999999</v>
      </c>
      <c r="I128" s="160">
        <f>+SUMIF($J$5:$J$97,G128,$R$5:$R$97)+SUMIF($J$5:$J$97,G128,$S$5:$S$97)+SUMIF($J$5:$J$97,G128,$T$5:$T$97)+SUMIF($J$5:$J$97,G128,$U$5:$U$97)+SUMIF($J$5:$J$97,G128,$V$5:$V$97)+SUMIF($J$5:$J$97,G128,$W$5:$AB$97)+SUMIF($J$5:$J$97,G128,$X$5:$X$97)+SUMIF($J$5:$J$97,G128,$AB$5:$AB$97)+SUMIF($J$5:$J$97,G128,$Q$5:$Q$97)+SUMIF($J$5:$J$97,G128,$Y$5:$Y$97)+SUMIF($J$5:$J$97,G128,$Z$5:$Z$97)+SUMIF($J$5:$J$97,G128,$AA$5:$AA$97)+SUMIF($J$5:$J$97,G127,$AC$5:$AC$97)</f>
        <v>11114789.359999999</v>
      </c>
      <c r="J128" s="160">
        <f>+I128/$M$125</f>
        <v>926232.44666666666</v>
      </c>
      <c r="K128" s="98">
        <f>+J128/$J$140</f>
        <v>7.3492881334528942E-2</v>
      </c>
      <c r="L128" s="76">
        <f>+COUNTIFS($I$5:$I$97,$G$116,$J$5:$J$97,G128)</f>
        <v>7</v>
      </c>
      <c r="M128" s="99">
        <f>+COUNTIFS($I$5:$I$97,$G$117,$J$5:$J$97,G128)</f>
        <v>4</v>
      </c>
      <c r="N128" s="61"/>
      <c r="O128" s="490"/>
      <c r="P128" s="61"/>
      <c r="Q128" s="61"/>
      <c r="R128"/>
      <c r="S128"/>
      <c r="T128"/>
      <c r="U128"/>
      <c r="V128"/>
      <c r="W128" s="2"/>
      <c r="X128"/>
      <c r="Y128"/>
      <c r="Z128"/>
      <c r="AA128"/>
      <c r="AB128"/>
      <c r="AC128"/>
    </row>
    <row r="129" spans="2:29" ht="15.75" thickBot="1" x14ac:dyDescent="0.3">
      <c r="B129" s="2"/>
      <c r="E129" s="54"/>
      <c r="F129" s="134"/>
      <c r="G129" s="100" t="s">
        <v>8</v>
      </c>
      <c r="H129" s="101">
        <f>+SUMIF($J$5:$J$97,G129,$M$5:$M$97)</f>
        <v>2969143</v>
      </c>
      <c r="I129" s="102">
        <f>+SUMIF($J$5:$J$97,G129,$R$5:$R$97)+SUMIF($J$5:$J$97,G129,$S$5:$S$97)+SUMIF($J$5:$J$97,G129,$T$5:$T$97)+SUMIF($J$5:$J$97,G129,$U$5:$U$97)+SUMIF($J$5:$J$97,G129,$V$5:$V$97)+SUMIF($J$5:$J$97,G129,$W$5:$AB$97)+SUMIF($J$5:$J$97,G129,$X$5:$X$97)+SUMIF($J$5:$J$97,G129,$AB$5:$AB$97)+SUMIF($J$5:$J$97,G129,$Q$5:$Q$97)+SUMIF($J$5:$J$97,G129,$Y$5:$Y$97)+SUMIF($J$5:$J$97,G129,$Z$5:$Z$97)+SUMIF($J$5:$J$97,G129,$AA$5:$AA$97)+SUMIF($J$5:$J$97,G127,$AC$5:$AC$97)</f>
        <v>414468</v>
      </c>
      <c r="J129" s="102">
        <f>+I129/$M$125</f>
        <v>34539</v>
      </c>
      <c r="K129" s="103">
        <f>+J129/$J$140</f>
        <v>2.7405330460495152E-3</v>
      </c>
      <c r="L129" s="104">
        <f>+COUNTIFS($I$5:$I$93,$G$116,$J$5:$J$93,G129)</f>
        <v>2</v>
      </c>
      <c r="M129" s="105">
        <f>+COUNTIFS($I$5:$I$97,$G$117,$J$5:$J$97,G129)</f>
        <v>0</v>
      </c>
      <c r="N129" s="61"/>
      <c r="O129" s="490"/>
      <c r="P129" s="61"/>
      <c r="Q129" s="61"/>
      <c r="R129"/>
      <c r="S129"/>
      <c r="T129"/>
      <c r="U129"/>
      <c r="V129"/>
      <c r="W129" s="2"/>
      <c r="X129"/>
      <c r="Y129"/>
      <c r="Z129"/>
      <c r="AA129"/>
      <c r="AB129"/>
      <c r="AC129"/>
    </row>
    <row r="130" spans="2:29" ht="15.75" thickBot="1" x14ac:dyDescent="0.3">
      <c r="B130" s="2"/>
      <c r="E130" s="54"/>
      <c r="F130" s="134"/>
      <c r="G130" s="106" t="s">
        <v>17</v>
      </c>
      <c r="H130" s="107">
        <f>SUM(H127:H129)</f>
        <v>59432909.359999999</v>
      </c>
      <c r="I130" s="107">
        <f>SUM(I127:I129)</f>
        <v>35346773.359999999</v>
      </c>
      <c r="J130" s="107">
        <f>SUM(J127:J129)</f>
        <v>2945564.4466666668</v>
      </c>
      <c r="K130" s="108"/>
      <c r="L130" s="109">
        <f>SUM(L127:L129)</f>
        <v>23</v>
      </c>
      <c r="M130" s="109">
        <f>SUM(M127:M129)</f>
        <v>4</v>
      </c>
      <c r="N130" s="61"/>
      <c r="O130" s="490"/>
      <c r="P130" s="61"/>
      <c r="Q130" s="61"/>
      <c r="R130"/>
      <c r="S130"/>
      <c r="T130"/>
      <c r="U130"/>
      <c r="V130"/>
      <c r="W130" s="2"/>
      <c r="X130"/>
      <c r="Y130"/>
      <c r="Z130"/>
      <c r="AA130"/>
      <c r="AB130"/>
      <c r="AC130"/>
    </row>
    <row r="131" spans="2:29" ht="15.75" thickBot="1" x14ac:dyDescent="0.3">
      <c r="B131" s="2"/>
      <c r="E131" s="54"/>
      <c r="F131" s="134"/>
      <c r="G131" s="79"/>
      <c r="H131" s="79"/>
      <c r="I131" s="635"/>
      <c r="J131" s="79"/>
      <c r="K131" s="108"/>
      <c r="L131" s="79"/>
      <c r="M131" s="79"/>
      <c r="N131" s="61"/>
      <c r="O131" s="490"/>
      <c r="P131" s="61"/>
      <c r="Q131" s="61"/>
      <c r="R131"/>
      <c r="S131"/>
      <c r="T131"/>
      <c r="U131"/>
      <c r="V131"/>
      <c r="W131" s="2"/>
      <c r="X131"/>
      <c r="Y131"/>
      <c r="Z131"/>
      <c r="AA131"/>
      <c r="AB131"/>
      <c r="AC131"/>
    </row>
    <row r="132" spans="2:29" x14ac:dyDescent="0.25">
      <c r="B132" s="2"/>
      <c r="E132" s="54"/>
      <c r="F132" s="134"/>
      <c r="G132" s="110" t="s">
        <v>6</v>
      </c>
      <c r="H132" s="161">
        <f>+SUMIF($J$5:$J$97,G132,$M$5:$M$97)</f>
        <v>71934277.310000002</v>
      </c>
      <c r="I132" s="162">
        <f>+SUMIF($J$5:$J$97,G132,$R$5:$R$97)+SUMIF($J$5:$J$97,G132,$S$5:$S$97)+SUMIF($J$5:$J$97,G132,$T$5:$T$97)+SUMIF($J$5:$J$97,G132,$U$5:$U$97)+SUMIF($J$5:$J$97,G132,$V$5:$V$97)+SUMIF($J$5:$J$97,G132,$W$5:$AB$97)+SUMIF($J$5:$J$97,G132,$X$5:$X$97)+SUMIF($J$5:$J$97,G132,$AB$5:$AB$97)+SUMIF($J$5:$J$97,G132,$Q$5:$Q$97)+SUMIF($J$5:$J$97,G132,$Y$5:$Y$97)+SUMIF($J$5:$J$97,G132,$Z$5:$Z$97)+SUMIF($J$5:$J$97,G132,$AA$5:$AA$97)+SUMIF($J$5:$J$97,G127,$AC$5:$AC$97)</f>
        <v>56463843.310000002</v>
      </c>
      <c r="J132" s="495">
        <f>+I132/$M$125</f>
        <v>4705320.2758333338</v>
      </c>
      <c r="K132" s="111">
        <f>+J132/$J$140</f>
        <v>0.37334855404522627</v>
      </c>
      <c r="L132" s="95">
        <f>+COUNTIFS($I$5:$I$97,$G$116,$J$5:$J$97,G132)</f>
        <v>35</v>
      </c>
      <c r="M132" s="96">
        <f>+COUNTIFS($I$5:$I$97,$G$117,$J$5:$J$97,G132)</f>
        <v>6</v>
      </c>
      <c r="N132" s="61"/>
      <c r="O132" s="490"/>
      <c r="P132" s="61"/>
      <c r="Q132" s="61"/>
      <c r="R132"/>
      <c r="S132"/>
      <c r="T132"/>
      <c r="U132"/>
      <c r="V132"/>
      <c r="W132" s="2"/>
      <c r="X132"/>
      <c r="Y132"/>
      <c r="Z132"/>
      <c r="AA132"/>
      <c r="AB132"/>
      <c r="AC132"/>
    </row>
    <row r="133" spans="2:29" x14ac:dyDescent="0.25">
      <c r="B133" s="2"/>
      <c r="E133" s="54"/>
      <c r="F133" s="134"/>
      <c r="G133" s="496" t="s">
        <v>133</v>
      </c>
      <c r="H133" s="163">
        <f>+SUMIF($J$5:$J$97,G133,$M$5:$M$97)</f>
        <v>2663360</v>
      </c>
      <c r="I133" s="160">
        <f>+SUMIF($J$5:$J$97,G133,$R$5:$R$97)+SUMIF($J$5:$J$97,G133,$S$5:$S$97)+SUMIF($J$5:$J$97,G133,$T$5:$T$97)+SUMIF($J$5:$J$97,G133,$U$5:$U$97)+SUMIF($J$5:$J$97,G133,$V$5:$V$97)+SUMIF($J$5:$J$97,G133,$W$5:$AB$97)+SUMIF($J$5:$J$97,G133,$X$5:$X$97)+SUMIF($J$5:$J$97,G133,$AB$5:$AB$97)+SUMIF($J$5:$J$97,G133,$Q$5:$Q$97)+SUMIF($J$5:$J$97,G133,$Y$5:$Y$97)+SUMIF($J$5:$J$97,G133,$Z$5:$Z$97)+SUMIF($J$5:$J$97,G133,$AA$5:$AA$97)+SUMIF($J$5:$J$97,G127,$AC$5:$AC$97)</f>
        <v>2663360</v>
      </c>
      <c r="J133" s="497">
        <f>+I133/$M$125</f>
        <v>221946.66666666666</v>
      </c>
      <c r="K133" s="498">
        <f>+J133/$J$140</f>
        <v>1.7610590186760946E-2</v>
      </c>
      <c r="L133" s="76">
        <f>+COUNTIFS($I$5:$I$97,$G$116,$J$5:$J$97,G133)</f>
        <v>1</v>
      </c>
      <c r="M133" s="99">
        <f>+COUNTIFS($I$5:$I$97,$G$117,$J$5:$J$97,G133)</f>
        <v>0</v>
      </c>
      <c r="N133" s="61"/>
      <c r="O133" s="490"/>
      <c r="P133" s="61"/>
      <c r="Q133" s="61"/>
      <c r="R133"/>
      <c r="S133"/>
      <c r="T133"/>
      <c r="U133"/>
      <c r="V133"/>
      <c r="W133" s="2"/>
      <c r="X133"/>
      <c r="Y133"/>
      <c r="Z133"/>
      <c r="AA133"/>
      <c r="AB133"/>
      <c r="AC133"/>
    </row>
    <row r="134" spans="2:29" ht="15.75" thickBot="1" x14ac:dyDescent="0.3">
      <c r="B134" s="2"/>
      <c r="E134" s="54"/>
      <c r="F134" s="134"/>
      <c r="G134" s="112" t="s">
        <v>44</v>
      </c>
      <c r="H134" s="101">
        <f>+SUMIF($J$5:$J$97,G134,$M$5:$M$97)</f>
        <v>8442753.7903999984</v>
      </c>
      <c r="I134" s="102">
        <f>+SUMIF($J$5:$J$97,G134,$R$5:$R$97)+SUMIF($J$5:$J$97,G134,$S$5:$S$97)+SUMIF($J$5:$J$97,G134,$T$5:$T$97)+SUMIF($J$5:$J$97,G134,$U$5:$U$97)+SUMIF($J$5:$J$97,G134,$V$5:$V$97)+SUMIF($J$5:$J$97,G134,$W$5:$AB$97)+SUMIF($J$5:$J$97,G134,$X$5:$X$97)+SUMIF($J$5:$J$97,G134,$AB$5:$AB$97)+SUMIF($J$5:$J$97,G134,$Q$5:$Q$97)+SUMIF($J$5:$J$97,G134,$Y$5:$Y$97)+SUMIF($J$5:$J$97,G134,$Z$5:$Z$97)+SUMIF($J$5:$J$97,G134,$AA$5:$AA$97)+SUMIF($J$5:$J$97,G127,$AC$5:$AC$97)</f>
        <v>8442753.7903999984</v>
      </c>
      <c r="J134" s="499">
        <f>+I134/$M$125</f>
        <v>703562.8158666665</v>
      </c>
      <c r="K134" s="113">
        <f>+J134/$J$140</f>
        <v>5.5824926803157288E-2</v>
      </c>
      <c r="L134" s="104">
        <f>+COUNTIFS($I$5:$I$97,$G$116,$J$5:$J$97,G134)</f>
        <v>4</v>
      </c>
      <c r="M134" s="105">
        <f>+COUNTIFS($I$5:$I$97,$G$117,$J$5:$J$97,G134)</f>
        <v>4</v>
      </c>
      <c r="N134" s="61"/>
      <c r="O134" s="490"/>
      <c r="P134" s="61"/>
      <c r="Q134" s="61"/>
      <c r="R134"/>
      <c r="S134"/>
      <c r="T134"/>
      <c r="U134"/>
      <c r="V134"/>
      <c r="W134" s="2"/>
      <c r="X134"/>
      <c r="Y134"/>
      <c r="Z134"/>
      <c r="AA134"/>
      <c r="AB134"/>
      <c r="AC134"/>
    </row>
    <row r="135" spans="2:29" ht="15.75" thickBot="1" x14ac:dyDescent="0.3">
      <c r="B135" s="2"/>
      <c r="E135" s="54"/>
      <c r="F135" s="134"/>
      <c r="G135" s="114" t="s">
        <v>22</v>
      </c>
      <c r="H135" s="107">
        <f>+H133+H132+H134</f>
        <v>83040391.100400001</v>
      </c>
      <c r="I135" s="107">
        <f>+I133+I132+I134</f>
        <v>67569957.100400001</v>
      </c>
      <c r="J135" s="107">
        <f>+J133+J132+J134</f>
        <v>5630829.7583666677</v>
      </c>
      <c r="K135" s="115"/>
      <c r="L135" s="109">
        <f>+L133+L132+L134</f>
        <v>40</v>
      </c>
      <c r="M135" s="109">
        <f>+M133+M132+M134</f>
        <v>10</v>
      </c>
      <c r="N135" s="61"/>
      <c r="O135" s="490"/>
      <c r="P135" s="61"/>
      <c r="Q135" s="61"/>
      <c r="R135"/>
      <c r="S135"/>
      <c r="T135"/>
      <c r="U135"/>
      <c r="V135"/>
      <c r="W135" s="2"/>
      <c r="X135"/>
      <c r="Y135"/>
      <c r="Z135"/>
      <c r="AA135"/>
      <c r="AB135"/>
      <c r="AC135"/>
    </row>
    <row r="136" spans="2:29" ht="15.75" thickBot="1" x14ac:dyDescent="0.3">
      <c r="B136" s="2"/>
      <c r="E136" s="54"/>
      <c r="F136" s="134"/>
      <c r="G136" s="79"/>
      <c r="H136" s="83"/>
      <c r="I136" s="83"/>
      <c r="J136" s="81"/>
      <c r="K136" s="115"/>
      <c r="L136" s="81"/>
      <c r="M136" s="81"/>
      <c r="N136" s="61"/>
      <c r="O136" s="490"/>
      <c r="P136" s="61"/>
      <c r="Q136" s="61"/>
      <c r="R136"/>
      <c r="S136"/>
      <c r="T136"/>
      <c r="U136"/>
      <c r="V136"/>
      <c r="W136" s="2"/>
      <c r="X136"/>
      <c r="Y136"/>
      <c r="Z136"/>
      <c r="AA136"/>
      <c r="AB136"/>
      <c r="AC136"/>
    </row>
    <row r="137" spans="2:29" x14ac:dyDescent="0.25">
      <c r="B137" s="2"/>
      <c r="E137" s="54"/>
      <c r="F137" s="134"/>
      <c r="G137" s="116" t="s">
        <v>13</v>
      </c>
      <c r="H137" s="500">
        <f>+SUMIF($J$5:$J$97,G137,$M$5:$M$97)</f>
        <v>59156559.995534621</v>
      </c>
      <c r="I137" s="501">
        <f>+SUMIF($J$5:$J$97,G137,$R$5:$R$97)+SUMIF($J$5:$J$97,G137,$S$5:$S$97)+SUMIF($J$5:$J$97,G137,$T$5:$T$97)+SUMIF($J$5:$J$97,G137,$U$5:$U$97)+SUMIF($J$5:$J$97,G137,$V$5:$V$97)+SUMIF($J$5:$J$97,G137,$W$5:$AB$97)+SUMIF($J$5:$J$97,G137,$X$5:$X$97)+SUMIF($J$5:$J$97,G137,$AB$5:$AB$97)+SUMIF($J$5:$J$97,G137,$Q$5:$Q$97)+SUMIF($J$5:$J$97,G137,$Y$5:$Y$97)+SUMIF($J$5:$J$97,G137,$Z$5:$Z$97)+SUMIF($J$5:$J$97,G137,$AA$5:$AA$97)+SUMIF($J$5:$J$97,G127,$AC$5:$AC$97)</f>
        <v>30044560</v>
      </c>
      <c r="J137" s="502">
        <f>+I137/$M$125</f>
        <v>2503713.3333333335</v>
      </c>
      <c r="K137" s="117">
        <f>+J137/$J$140</f>
        <v>0.19865975065389227</v>
      </c>
      <c r="L137" s="118">
        <f>+COUNTIFS($I$5:$I$97,$G$116,$J$5:$J$97,G137)</f>
        <v>3</v>
      </c>
      <c r="M137" s="119">
        <f>+COUNTIFS($I$5:$I$97,$G$117,$J$5:$J$97,G137)</f>
        <v>4</v>
      </c>
      <c r="N137" s="61"/>
      <c r="O137" s="490"/>
      <c r="P137" s="61"/>
      <c r="Q137" s="61"/>
      <c r="R137"/>
      <c r="S137"/>
      <c r="T137"/>
      <c r="U137"/>
      <c r="V137"/>
      <c r="W137" s="2"/>
      <c r="X137"/>
      <c r="Y137"/>
      <c r="Z137"/>
      <c r="AA137"/>
      <c r="AB137"/>
      <c r="AC137"/>
    </row>
    <row r="138" spans="2:29" ht="15.75" thickBot="1" x14ac:dyDescent="0.3">
      <c r="B138" s="2"/>
      <c r="E138" s="54"/>
      <c r="F138" s="134"/>
      <c r="G138" s="120" t="s">
        <v>14</v>
      </c>
      <c r="H138" s="503">
        <f>+SUMIF($J$5:$J$97,G138,$M$5:$M$97)</f>
        <v>20724412.109999999</v>
      </c>
      <c r="I138" s="504">
        <f>+SUMIF($J$5:$J$97,G138,$R$5:$R$97)+SUMIF($J$5:$J$97,G138,$S$5:$S$97)+SUMIF($J$5:$J$97,G138,$T$5:$T$97)+SUMIF($J$5:$J$97,G138,$U$5:$U$97)+SUMIF($J$5:$J$97,G138,$V$5:$V$97)+SUMIF($J$5:$J$97,G138,$W$5:$AB$97)+SUMIF($J$5:$J$97,G138,$X$5:$X$97)+SUMIF($J$5:$J$97,G138,$AB$5:$AB$97)+SUMIF($J$5:$J$97,G138,$Q$5:$Q$97)+SUMIF($J$5:$J$97,G138,$Y$5:$Y$97)+SUMIF($J$5:$J$97,G138,$Z$5:$Z$97)+SUMIF($J$5:$J$97,G138,$AA$5:$AA$97)+SUMIF($J$5:$J$97,G127,$AC$5:$AC$97)</f>
        <v>18274981.109999999</v>
      </c>
      <c r="J138" s="505">
        <f>+I138/$M$125</f>
        <v>1522915.0925</v>
      </c>
      <c r="K138" s="506">
        <f>+J138/$J$140</f>
        <v>0.12083728936343854</v>
      </c>
      <c r="L138" s="78">
        <f>+COUNTIFS($I$5:$I$97,$G$116,$J$5:$J$97,G138)</f>
        <v>8</v>
      </c>
      <c r="M138" s="507">
        <f>+COUNTIFS($I$5:$I$97,$G$117,$J$5:$J$97,G138)</f>
        <v>0</v>
      </c>
      <c r="N138" s="61"/>
      <c r="O138" s="490"/>
      <c r="P138" s="61"/>
      <c r="Q138" s="61"/>
      <c r="R138"/>
      <c r="S138"/>
      <c r="T138"/>
      <c r="U138"/>
      <c r="V138"/>
      <c r="W138" s="2"/>
      <c r="X138"/>
      <c r="Y138"/>
      <c r="Z138"/>
      <c r="AA138"/>
      <c r="AB138"/>
      <c r="AC138"/>
    </row>
    <row r="139" spans="2:29" ht="15.75" thickBot="1" x14ac:dyDescent="0.3">
      <c r="B139" s="2"/>
      <c r="E139" s="54"/>
      <c r="F139" s="134"/>
      <c r="G139" s="121" t="s">
        <v>22</v>
      </c>
      <c r="H139" s="508">
        <f>+H138+H137</f>
        <v>79880972.105534613</v>
      </c>
      <c r="I139" s="509">
        <f>+I138+I137</f>
        <v>48319541.109999999</v>
      </c>
      <c r="J139" s="509">
        <f>+J138+J137</f>
        <v>4026628.4258333333</v>
      </c>
      <c r="K139" s="510"/>
      <c r="L139" s="511">
        <f>+L138+L137</f>
        <v>11</v>
      </c>
      <c r="M139" s="512">
        <f>+M138+M137</f>
        <v>4</v>
      </c>
      <c r="N139" s="61"/>
      <c r="O139" s="490"/>
      <c r="P139" s="61"/>
      <c r="Q139" s="61"/>
      <c r="R139"/>
      <c r="S139"/>
      <c r="T139" s="513"/>
      <c r="U139"/>
      <c r="V139"/>
      <c r="W139" s="1"/>
      <c r="X139"/>
      <c r="Y139"/>
      <c r="Z139"/>
      <c r="AA139"/>
      <c r="AB139"/>
      <c r="AC139"/>
    </row>
    <row r="140" spans="2:29" ht="15.75" thickBot="1" x14ac:dyDescent="0.3">
      <c r="B140" s="2"/>
      <c r="E140" s="54"/>
      <c r="F140" s="134"/>
      <c r="G140" s="122" t="s">
        <v>23</v>
      </c>
      <c r="H140" s="123">
        <f>+H139+H135+H130</f>
        <v>222354272.5659346</v>
      </c>
      <c r="I140" s="123">
        <f>+I139+I135+I130</f>
        <v>151236271.5704</v>
      </c>
      <c r="J140" s="123">
        <f>+J139+J135+J130</f>
        <v>12603022.630866667</v>
      </c>
      <c r="K140" s="79"/>
      <c r="L140" s="124">
        <f>+L139+L135+L130</f>
        <v>74</v>
      </c>
      <c r="M140" s="125">
        <f>+M139+M135+M130</f>
        <v>18</v>
      </c>
      <c r="N140" s="61"/>
      <c r="O140" s="490"/>
      <c r="P140" s="61"/>
      <c r="Q140" s="61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2:29" ht="15.75" thickBot="1" x14ac:dyDescent="0.3">
      <c r="B141" s="2"/>
      <c r="E141" s="54"/>
      <c r="F141" s="134"/>
      <c r="G141" s="126" t="s">
        <v>25</v>
      </c>
      <c r="H141" s="127">
        <f>+K112-H140</f>
        <v>0</v>
      </c>
      <c r="I141" s="636">
        <f>+K113-I140</f>
        <v>0</v>
      </c>
      <c r="J141" s="127">
        <f>+J140-K122</f>
        <v>0</v>
      </c>
      <c r="K141" s="79"/>
      <c r="L141" s="820">
        <f>+L140+M140</f>
        <v>92</v>
      </c>
      <c r="M141" s="915"/>
      <c r="N141" s="61"/>
      <c r="O141" s="490"/>
      <c r="P141" s="490"/>
      <c r="Q141" s="61"/>
      <c r="R141" s="61"/>
      <c r="S141"/>
      <c r="T141"/>
      <c r="U141"/>
      <c r="V141"/>
      <c r="W141"/>
      <c r="X141"/>
      <c r="Y141"/>
      <c r="Z141"/>
      <c r="AA141"/>
      <c r="AB141"/>
      <c r="AC141"/>
    </row>
    <row r="142" spans="2:29" x14ac:dyDescent="0.25">
      <c r="B142" s="2"/>
      <c r="E142" s="54"/>
      <c r="F142" s="137"/>
      <c r="G142" s="126"/>
      <c r="H142" s="127"/>
      <c r="I142" s="636"/>
      <c r="J142" s="127"/>
      <c r="K142" s="79"/>
      <c r="L142" s="79"/>
      <c r="M142" s="79"/>
      <c r="N142" s="61"/>
      <c r="O142" s="490"/>
      <c r="P142" s="490"/>
      <c r="Q142" s="61"/>
      <c r="R142" s="61"/>
      <c r="S142"/>
      <c r="T142"/>
      <c r="U142"/>
      <c r="V142"/>
      <c r="W142"/>
      <c r="X142"/>
      <c r="Y142"/>
      <c r="Z142"/>
      <c r="AA142"/>
      <c r="AB142"/>
      <c r="AC142"/>
    </row>
    <row r="143" spans="2:29" x14ac:dyDescent="0.25">
      <c r="B143" s="2"/>
      <c r="E143" s="54"/>
      <c r="F143" s="134"/>
      <c r="G143" s="80"/>
      <c r="H143" s="79"/>
      <c r="I143" s="637" t="s">
        <v>61</v>
      </c>
      <c r="J143" s="127"/>
      <c r="K143" s="79"/>
      <c r="L143" s="79"/>
      <c r="M143" s="79"/>
      <c r="N143" s="61"/>
      <c r="O143" s="490"/>
      <c r="P143" s="490"/>
      <c r="Q143" s="61"/>
      <c r="R143" s="61"/>
      <c r="S143"/>
      <c r="T143"/>
      <c r="U143"/>
      <c r="V143"/>
      <c r="W143"/>
      <c r="X143"/>
      <c r="Y143"/>
      <c r="Z143"/>
      <c r="AA143"/>
      <c r="AB143"/>
      <c r="AC143"/>
    </row>
    <row r="144" spans="2:29" x14ac:dyDescent="0.25">
      <c r="B144" s="2"/>
      <c r="E144" s="54"/>
      <c r="F144" s="134"/>
      <c r="G144" s="80"/>
      <c r="H144" s="79"/>
      <c r="I144" s="638"/>
      <c r="J144" s="126"/>
      <c r="K144" s="126"/>
      <c r="L144" s="127"/>
      <c r="M144" s="79"/>
      <c r="N144" s="61"/>
      <c r="O144" s="490"/>
      <c r="P144" s="490"/>
      <c r="Q144" s="61"/>
      <c r="R144" s="61"/>
      <c r="S144"/>
      <c r="T144"/>
      <c r="U144"/>
      <c r="V144"/>
      <c r="W144"/>
      <c r="X144"/>
      <c r="Y144"/>
      <c r="Z144"/>
      <c r="AA144"/>
      <c r="AB144"/>
      <c r="AC144"/>
    </row>
    <row r="145" spans="2:29" x14ac:dyDescent="0.25">
      <c r="B145" s="2"/>
      <c r="E145" s="54"/>
      <c r="F145" s="134"/>
      <c r="G145" s="80"/>
      <c r="H145" s="79"/>
      <c r="I145" s="635"/>
      <c r="J145" s="70" t="s">
        <v>312</v>
      </c>
      <c r="K145" s="70" t="s">
        <v>60</v>
      </c>
      <c r="L145" s="70" t="s">
        <v>3</v>
      </c>
      <c r="M145" s="79"/>
      <c r="N145" s="79"/>
      <c r="O145" s="490"/>
      <c r="P145" s="490"/>
      <c r="Q145" s="61"/>
      <c r="R145" s="61"/>
      <c r="S145"/>
      <c r="T145"/>
      <c r="U145"/>
      <c r="V145"/>
      <c r="W145"/>
      <c r="X145"/>
      <c r="Y145"/>
      <c r="Z145"/>
      <c r="AA145"/>
      <c r="AB145"/>
      <c r="AC145"/>
    </row>
    <row r="146" spans="2:29" x14ac:dyDescent="0.25">
      <c r="B146" s="2"/>
      <c r="E146" s="54"/>
      <c r="F146" s="134"/>
      <c r="G146" s="80"/>
      <c r="H146" s="79"/>
      <c r="I146" s="639" t="s">
        <v>3</v>
      </c>
      <c r="J146" s="72">
        <f>+COUNTIF($G$5:$G$97,J145)</f>
        <v>63</v>
      </c>
      <c r="K146" s="72">
        <f>+COUNTIF($G$5:$G$97,K145)</f>
        <v>7</v>
      </c>
      <c r="L146" s="72">
        <f>+J146+K146</f>
        <v>70</v>
      </c>
      <c r="M146" s="79"/>
      <c r="N146" s="79"/>
      <c r="O146" s="490"/>
      <c r="P146" s="490"/>
      <c r="Q146" s="61"/>
      <c r="R146" s="61"/>
      <c r="S146"/>
      <c r="T146"/>
      <c r="U146"/>
      <c r="V146"/>
      <c r="W146"/>
      <c r="X146"/>
      <c r="Y146"/>
      <c r="Z146"/>
      <c r="AA146"/>
      <c r="AB146"/>
      <c r="AC146"/>
    </row>
    <row r="147" spans="2:29" x14ac:dyDescent="0.25">
      <c r="B147" s="2"/>
      <c r="E147" s="54"/>
      <c r="F147" s="134"/>
      <c r="G147" s="80"/>
      <c r="H147" s="79"/>
      <c r="I147" s="76" t="s">
        <v>55</v>
      </c>
      <c r="J147" s="77">
        <f>+COUNTIFS($G$5:$G$96,$J$145,$I$5:$I$96,I147)</f>
        <v>7</v>
      </c>
      <c r="K147" s="77">
        <f>+COUNTIFS($G$5:$G$96,$K$145,$I$5:$I$96,I147)</f>
        <v>2</v>
      </c>
      <c r="L147" s="77">
        <f>+K147+J147</f>
        <v>9</v>
      </c>
      <c r="M147" s="79"/>
      <c r="N147" s="79"/>
      <c r="O147" s="490"/>
      <c r="P147" s="490"/>
      <c r="Q147" s="61"/>
      <c r="R147" s="61"/>
      <c r="S147"/>
      <c r="T147"/>
      <c r="U147"/>
      <c r="V147"/>
      <c r="W147"/>
      <c r="X147"/>
      <c r="Y147"/>
      <c r="Z147"/>
      <c r="AA147"/>
      <c r="AB147"/>
      <c r="AC147"/>
    </row>
    <row r="148" spans="2:29" x14ac:dyDescent="0.25">
      <c r="B148" s="2"/>
      <c r="E148" s="54"/>
      <c r="F148" s="137"/>
      <c r="G148" s="126"/>
      <c r="H148" s="127"/>
      <c r="I148" s="78" t="s">
        <v>54</v>
      </c>
      <c r="J148" s="77">
        <f>+COUNTIFS($G$5:$G$96,$J$145,$I$5:$I$96,I148)</f>
        <v>56</v>
      </c>
      <c r="K148" s="77">
        <f>+COUNTIFS($G$5:$G$96,$K$145,$I$5:$I$96,I148)</f>
        <v>5</v>
      </c>
      <c r="L148" s="77">
        <f>+K148+J148</f>
        <v>61</v>
      </c>
      <c r="M148" s="590"/>
      <c r="N148" s="79"/>
      <c r="O148" s="490"/>
      <c r="P148" s="490"/>
      <c r="Q148" s="61"/>
      <c r="R148" s="61"/>
      <c r="S148"/>
      <c r="T148"/>
      <c r="U148"/>
      <c r="V148"/>
      <c r="W148"/>
      <c r="X148"/>
      <c r="Y148"/>
      <c r="Z148"/>
      <c r="AA148"/>
      <c r="AB148"/>
      <c r="AC148"/>
    </row>
    <row r="149" spans="2:29" ht="15.75" thickBot="1" x14ac:dyDescent="0.3">
      <c r="B149" s="2"/>
      <c r="E149" s="54"/>
      <c r="F149" s="139"/>
      <c r="G149" s="129"/>
      <c r="H149" s="130"/>
      <c r="I149" s="640"/>
      <c r="J149" s="128"/>
      <c r="K149" s="62"/>
      <c r="L149" s="62"/>
      <c r="M149" s="62"/>
      <c r="N149" s="62"/>
      <c r="O149" s="514"/>
      <c r="P149" s="61"/>
      <c r="Q149" s="61"/>
      <c r="T149"/>
      <c r="U149"/>
      <c r="V149"/>
      <c r="W149"/>
      <c r="X149"/>
      <c r="Y149"/>
      <c r="Z149"/>
      <c r="AA149"/>
      <c r="AB149"/>
      <c r="AC149"/>
    </row>
    <row r="150" spans="2:29" x14ac:dyDescent="0.25">
      <c r="B150" s="2"/>
      <c r="E150" s="54"/>
      <c r="M150"/>
      <c r="P150" s="61"/>
      <c r="Q150" s="61"/>
      <c r="T150"/>
      <c r="U150"/>
      <c r="V150"/>
      <c r="W150"/>
      <c r="X150"/>
      <c r="Y150"/>
      <c r="Z150"/>
      <c r="AA150"/>
      <c r="AB150"/>
      <c r="AC150"/>
    </row>
    <row r="151" spans="2:29" x14ac:dyDescent="0.25">
      <c r="P151" s="61"/>
      <c r="Q151" s="61"/>
      <c r="T151"/>
      <c r="U151"/>
      <c r="V151"/>
      <c r="W151"/>
      <c r="X151"/>
      <c r="Y151"/>
      <c r="Z151"/>
      <c r="AA151"/>
      <c r="AB151"/>
      <c r="AC151"/>
    </row>
    <row r="152" spans="2:29" x14ac:dyDescent="0.25">
      <c r="P152" s="61"/>
      <c r="Q152" s="61"/>
      <c r="T152"/>
      <c r="U152"/>
      <c r="V152"/>
      <c r="W152"/>
      <c r="X152"/>
      <c r="Y152"/>
      <c r="Z152"/>
      <c r="AA152"/>
      <c r="AB152"/>
      <c r="AC152"/>
    </row>
  </sheetData>
  <autoFilter ref="E4:AE98"/>
  <mergeCells count="28">
    <mergeCell ref="G107:N107"/>
    <mergeCell ref="C4:C7"/>
    <mergeCell ref="C8:C10"/>
    <mergeCell ref="C11:C13"/>
    <mergeCell ref="C14:C23"/>
    <mergeCell ref="C25:C34"/>
    <mergeCell ref="C35:C42"/>
    <mergeCell ref="C43:C58"/>
    <mergeCell ref="C59:C84"/>
    <mergeCell ref="C85:C87"/>
    <mergeCell ref="C88:C93"/>
    <mergeCell ref="C94:C96"/>
    <mergeCell ref="I112:J112"/>
    <mergeCell ref="I113:J113"/>
    <mergeCell ref="G115:I115"/>
    <mergeCell ref="K115:L115"/>
    <mergeCell ref="G116:I116"/>
    <mergeCell ref="K116:L116"/>
    <mergeCell ref="I122:J122"/>
    <mergeCell ref="I123:J123"/>
    <mergeCell ref="L141:M141"/>
    <mergeCell ref="G117:I117"/>
    <mergeCell ref="K117:L117"/>
    <mergeCell ref="G118:I118"/>
    <mergeCell ref="G119:I119"/>
    <mergeCell ref="K119:L119"/>
    <mergeCell ref="K118:L118"/>
    <mergeCell ref="I121:J121"/>
  </mergeCells>
  <conditionalFormatting sqref="D97:D1048576 D1:D87">
    <cfRule type="containsText" dxfId="11" priority="4" operator="containsText" text="SI">
      <formula>NOT(ISERROR(SEARCH("SI",D1)))</formula>
    </cfRule>
    <cfRule type="containsText" dxfId="10" priority="5" operator="containsText" text="NO">
      <formula>NOT(ISERROR(SEARCH("NO",D1)))</formula>
    </cfRule>
    <cfRule type="containsText" dxfId="9" priority="6" operator="containsText" text="SI">
      <formula>NOT(ISERROR(SEARCH("SI",D1)))</formula>
    </cfRule>
  </conditionalFormatting>
  <conditionalFormatting sqref="D88:D96">
    <cfRule type="containsText" dxfId="8" priority="1" operator="containsText" text="SI">
      <formula>NOT(ISERROR(SEARCH("SI",D88)))</formula>
    </cfRule>
    <cfRule type="containsText" dxfId="7" priority="2" operator="containsText" text="NO">
      <formula>NOT(ISERROR(SEARCH("NO",D88)))</formula>
    </cfRule>
    <cfRule type="containsText" dxfId="6" priority="3" operator="containsText" text="SI">
      <formula>NOT(ISERROR(SEARCH("SI",D88)))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40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048432"/>
  <sheetViews>
    <sheetView showGridLines="0" zoomScale="85" zoomScaleNormal="85" workbookViewId="0">
      <pane ySplit="4" topLeftCell="A76" activePane="bottomLeft" state="frozen"/>
      <selection pane="bottomLeft" activeCell="I99" sqref="I99"/>
    </sheetView>
  </sheetViews>
  <sheetFormatPr baseColWidth="10" defaultRowHeight="15" x14ac:dyDescent="0.25"/>
  <cols>
    <col min="1" max="1" width="3.5703125" customWidth="1"/>
    <col min="2" max="2" width="3.7109375" bestFit="1" customWidth="1"/>
    <col min="3" max="3" width="22.42578125" bestFit="1" customWidth="1"/>
    <col min="4" max="4" width="15.5703125" style="7" bestFit="1" customWidth="1"/>
    <col min="5" max="5" width="16.7109375" bestFit="1" customWidth="1"/>
    <col min="6" max="6" width="16.140625" bestFit="1" customWidth="1"/>
    <col min="7" max="7" width="13.42578125" hidden="1" customWidth="1"/>
    <col min="8" max="8" width="13" bestFit="1" customWidth="1"/>
    <col min="9" max="9" width="16.28515625" style="521" bestFit="1" customWidth="1"/>
    <col min="10" max="10" width="16.28515625" style="521" hidden="1" customWidth="1"/>
    <col min="11" max="11" width="13" style="522" customWidth="1"/>
    <col min="12" max="12" width="16.7109375" style="8" bestFit="1" customWidth="1"/>
    <col min="13" max="13" width="12.85546875" style="8" bestFit="1" customWidth="1"/>
    <col min="14" max="14" width="12.85546875" style="8" customWidth="1"/>
    <col min="15" max="15" width="16.7109375" bestFit="1" customWidth="1"/>
    <col min="16" max="16" width="18.5703125" customWidth="1"/>
    <col min="17" max="17" width="15.85546875" customWidth="1"/>
  </cols>
  <sheetData>
    <row r="2" spans="1:17" ht="15.75" thickBot="1" x14ac:dyDescent="0.3">
      <c r="H2" s="7"/>
    </row>
    <row r="3" spans="1:17" ht="15.75" thickBot="1" x14ac:dyDescent="0.3">
      <c r="A3" s="2"/>
      <c r="B3" s="147" t="s">
        <v>38</v>
      </c>
      <c r="C3" s="424"/>
      <c r="D3" s="425"/>
      <c r="E3" s="425"/>
      <c r="F3" s="425"/>
      <c r="G3" s="425"/>
      <c r="H3" s="425"/>
      <c r="I3" s="523"/>
      <c r="J3" s="523" t="s">
        <v>399</v>
      </c>
      <c r="K3" s="524"/>
      <c r="L3" s="425"/>
      <c r="M3" s="425"/>
      <c r="N3" s="939" t="s">
        <v>53</v>
      </c>
      <c r="O3" s="940"/>
      <c r="P3" s="940"/>
      <c r="Q3" s="941"/>
    </row>
    <row r="4" spans="1:17" ht="15.75" customHeight="1" x14ac:dyDescent="0.25">
      <c r="A4" s="2"/>
      <c r="B4" s="147"/>
      <c r="C4" s="209" t="s">
        <v>0</v>
      </c>
      <c r="D4" s="210" t="s">
        <v>37</v>
      </c>
      <c r="E4" s="209" t="s">
        <v>131</v>
      </c>
      <c r="F4" s="209" t="s">
        <v>1</v>
      </c>
      <c r="G4" s="153" t="s">
        <v>2</v>
      </c>
      <c r="H4" s="209" t="s">
        <v>27</v>
      </c>
      <c r="I4" s="525" t="s">
        <v>356</v>
      </c>
      <c r="J4" s="525"/>
      <c r="K4" s="526" t="s">
        <v>357</v>
      </c>
      <c r="L4" s="211" t="s">
        <v>355</v>
      </c>
      <c r="M4" s="152" t="s">
        <v>36</v>
      </c>
      <c r="N4" s="238"/>
      <c r="O4" s="238" t="s">
        <v>52</v>
      </c>
      <c r="P4" s="238" t="s">
        <v>51</v>
      </c>
      <c r="Q4" s="238" t="s">
        <v>50</v>
      </c>
    </row>
    <row r="5" spans="1:17" x14ac:dyDescent="0.25">
      <c r="A5" s="2"/>
      <c r="B5" s="877" t="s">
        <v>5</v>
      </c>
      <c r="C5" s="516" t="str">
        <f>+'VENTAS 2019'!E5</f>
        <v>HADDAD</v>
      </c>
      <c r="D5" s="402">
        <f>+'VENTAS 2019'!F5</f>
        <v>43493</v>
      </c>
      <c r="E5" s="401" t="str">
        <f>+'VENTAS 2019'!H5</f>
        <v>1ºA</v>
      </c>
      <c r="F5" s="401" t="str">
        <f>+'VENTAS 2019'!J5</f>
        <v>ZOE</v>
      </c>
      <c r="G5" s="401" t="e">
        <f>+'VENTAS 2019'!#REF!</f>
        <v>#REF!</v>
      </c>
      <c r="H5" s="403">
        <f>+'VENTAS 2019'!K5</f>
        <v>71.959999999999994</v>
      </c>
      <c r="I5" s="528">
        <f>+L5/J5</f>
        <v>76256.805369127513</v>
      </c>
      <c r="J5" s="528">
        <f>AVERAGE(36.25,38.25)</f>
        <v>37.25</v>
      </c>
      <c r="K5" s="528">
        <f>+I5/H5</f>
        <v>1059.7110251407382</v>
      </c>
      <c r="L5" s="404">
        <f>+'VENTAS 2019'!M5</f>
        <v>2840566</v>
      </c>
      <c r="M5" s="404">
        <f>+'VENTAS 2019'!N5</f>
        <v>39474.235686492502</v>
      </c>
      <c r="N5" s="50"/>
      <c r="O5" s="44"/>
      <c r="P5" s="47"/>
      <c r="Q5" s="239"/>
    </row>
    <row r="6" spans="1:17" x14ac:dyDescent="0.25">
      <c r="A6" s="2"/>
      <c r="B6" s="877"/>
      <c r="C6" s="516" t="str">
        <f>+'VENTAS 2019'!E6</f>
        <v>ALPRE</v>
      </c>
      <c r="D6" s="402">
        <f>+'VENTAS 2019'!F6</f>
        <v>43487</v>
      </c>
      <c r="E6" s="401" t="str">
        <f>+'VENTAS 2019'!H6</f>
        <v>6ºC</v>
      </c>
      <c r="F6" s="401" t="str">
        <f>+'VENTAS 2019'!J6</f>
        <v>ZOE</v>
      </c>
      <c r="G6" s="401" t="e">
        <f>+'VENTAS 2019'!#REF!</f>
        <v>#REF!</v>
      </c>
      <c r="H6" s="403">
        <f>+'VENTAS 2019'!K6</f>
        <v>74.760000000000005</v>
      </c>
      <c r="I6" s="528">
        <f>+L6/J6</f>
        <v>68874.172185430463</v>
      </c>
      <c r="J6" s="528">
        <v>37.75</v>
      </c>
      <c r="K6" s="528">
        <f>+I6/H6</f>
        <v>921.27036096081406</v>
      </c>
      <c r="L6" s="404">
        <f>+'VENTAS 2019'!M6</f>
        <v>2600000</v>
      </c>
      <c r="M6" s="404">
        <f>+'VENTAS 2019'!N6</f>
        <v>34777.956126270728</v>
      </c>
      <c r="N6" s="50"/>
      <c r="O6" s="44"/>
      <c r="P6" s="47"/>
      <c r="Q6" s="239"/>
    </row>
    <row r="7" spans="1:17" ht="15.75" thickBot="1" x14ac:dyDescent="0.3">
      <c r="A7" s="2"/>
      <c r="B7" s="935"/>
      <c r="C7" s="516" t="str">
        <f>+'VENTAS 2019'!E7</f>
        <v>ROSSI</v>
      </c>
      <c r="D7" s="402">
        <f>+'VENTAS 2019'!F7</f>
        <v>43475</v>
      </c>
      <c r="E7" s="401" t="str">
        <f>+'VENTAS 2019'!H7</f>
        <v>9ºB</v>
      </c>
      <c r="F7" s="401" t="str">
        <f>+'VENTAS 2019'!J7</f>
        <v>GREEN</v>
      </c>
      <c r="G7" s="401" t="e">
        <f>+'VENTAS 2019'!#REF!</f>
        <v>#REF!</v>
      </c>
      <c r="H7" s="403">
        <f>+'VENTAS 2019'!K7</f>
        <v>41.53</v>
      </c>
      <c r="I7" s="528">
        <f>+L7/J7</f>
        <v>40471.372549019608</v>
      </c>
      <c r="J7" s="528">
        <v>38.25</v>
      </c>
      <c r="K7" s="528">
        <f>+I7/H7</f>
        <v>974.50933178472451</v>
      </c>
      <c r="L7" s="404">
        <f>+'VENTAS 2019'!M7</f>
        <v>1548030</v>
      </c>
      <c r="M7" s="404">
        <f>+'VENTAS 2019'!N7</f>
        <v>37274.981940765712</v>
      </c>
      <c r="N7" s="49" t="s">
        <v>49</v>
      </c>
      <c r="O7" s="51">
        <f>SUM(L5:L7)</f>
        <v>6988596</v>
      </c>
      <c r="P7" s="48">
        <v>4195</v>
      </c>
      <c r="Q7" s="52">
        <f>+O7/P7</f>
        <v>1665.934684147795</v>
      </c>
    </row>
    <row r="8" spans="1:17" x14ac:dyDescent="0.25">
      <c r="A8" s="2"/>
      <c r="B8" s="936" t="s">
        <v>10</v>
      </c>
      <c r="C8" s="515" t="str">
        <f>+'VENTAS 2019'!E8</f>
        <v>SANCHEZ</v>
      </c>
      <c r="D8" s="395">
        <f>+'VENTAS 2019'!F8</f>
        <v>43522</v>
      </c>
      <c r="E8" s="394" t="str">
        <f>+'VENTAS 2019'!H8</f>
        <v>COCH</v>
      </c>
      <c r="F8" s="394" t="str">
        <f>+'VENTAS 2019'!J8</f>
        <v>ZOE</v>
      </c>
      <c r="G8" s="394" t="e">
        <f>+'VENTAS 2019'!#REF!</f>
        <v>#REF!</v>
      </c>
      <c r="H8" s="397">
        <f>+'VENTAS 2019'!K8</f>
        <v>22.14</v>
      </c>
      <c r="I8" s="527"/>
      <c r="J8" s="527"/>
      <c r="K8" s="527"/>
      <c r="L8" s="398">
        <f>+'VENTAS 2019'!M8</f>
        <v>690784</v>
      </c>
      <c r="M8" s="398">
        <f>+'VENTAS 2019'!N8</f>
        <v>0</v>
      </c>
      <c r="N8" s="50"/>
      <c r="O8" s="218"/>
      <c r="P8" s="140"/>
      <c r="Q8" s="141"/>
    </row>
    <row r="9" spans="1:17" ht="15" customHeight="1" x14ac:dyDescent="0.25">
      <c r="A9" s="2"/>
      <c r="B9" s="937"/>
      <c r="C9" s="515" t="str">
        <f>+'VENTAS 2019'!E9</f>
        <v>SALIM</v>
      </c>
      <c r="D9" s="395">
        <f>+'VENTAS 2019'!F9</f>
        <v>43508</v>
      </c>
      <c r="E9" s="394" t="str">
        <f>+'VENTAS 2019'!H9</f>
        <v>8ºA</v>
      </c>
      <c r="F9" s="394" t="str">
        <f>+'VENTAS 2019'!J9</f>
        <v>ZOE</v>
      </c>
      <c r="G9" s="394" t="e">
        <f>+'VENTAS 2019'!#REF!</f>
        <v>#REF!</v>
      </c>
      <c r="H9" s="397">
        <f>+'VENTAS 2019'!K9</f>
        <v>71.959999999999994</v>
      </c>
      <c r="I9" s="527">
        <f t="shared" ref="I9:I10" si="0">+K9*H9</f>
        <v>70017.079999999987</v>
      </c>
      <c r="J9" s="527">
        <f>+M9/K9</f>
        <v>38.190681473720417</v>
      </c>
      <c r="K9" s="527">
        <v>973</v>
      </c>
      <c r="L9" s="398">
        <f>+'VENTAS 2019'!M9</f>
        <v>2674000</v>
      </c>
      <c r="M9" s="398">
        <f>+'VENTAS 2019'!N9</f>
        <v>37159.533073929968</v>
      </c>
      <c r="N9" s="50"/>
      <c r="O9" s="44"/>
      <c r="P9" s="47"/>
      <c r="Q9" s="239"/>
    </row>
    <row r="10" spans="1:17" ht="15.75" thickBot="1" x14ac:dyDescent="0.3">
      <c r="A10" s="2"/>
      <c r="B10" s="938"/>
      <c r="C10" s="515" t="str">
        <f>+'VENTAS 2019'!E10</f>
        <v>BALMORI</v>
      </c>
      <c r="D10" s="395">
        <f>+'VENTAS 2019'!F10</f>
        <v>43508</v>
      </c>
      <c r="E10" s="394" t="str">
        <f>+'VENTAS 2019'!H10</f>
        <v>13ºG</v>
      </c>
      <c r="F10" s="394" t="str">
        <f>+'VENTAS 2019'!J10</f>
        <v>ZOE</v>
      </c>
      <c r="G10" s="394" t="e">
        <f>+'VENTAS 2019'!#REF!</f>
        <v>#REF!</v>
      </c>
      <c r="H10" s="397">
        <f>+'VENTAS 2019'!K10</f>
        <v>39.69</v>
      </c>
      <c r="I10" s="527">
        <f t="shared" si="0"/>
        <v>40007.519999999997</v>
      </c>
      <c r="J10" s="527">
        <f>+M10/K10</f>
        <v>38.192819749887022</v>
      </c>
      <c r="K10" s="527">
        <v>1008</v>
      </c>
      <c r="L10" s="398">
        <f>+'VENTAS 2019'!M10</f>
        <v>1528000</v>
      </c>
      <c r="M10" s="398">
        <f>+'VENTAS 2019'!N10</f>
        <v>38498.36230788612</v>
      </c>
      <c r="N10" s="49" t="s">
        <v>48</v>
      </c>
      <c r="O10" s="51">
        <f>SUM(L8:L10)</f>
        <v>4892784</v>
      </c>
      <c r="P10" s="48">
        <v>4315</v>
      </c>
      <c r="Q10" s="52">
        <f>+O10/P10</f>
        <v>1133.9012746234066</v>
      </c>
    </row>
    <row r="11" spans="1:17" ht="15" customHeight="1" x14ac:dyDescent="0.25">
      <c r="A11" s="2"/>
      <c r="B11" s="876" t="s">
        <v>11</v>
      </c>
      <c r="C11" s="516" t="str">
        <f>+'VENTAS 2019'!E11</f>
        <v>SPINDLER</v>
      </c>
      <c r="D11" s="402">
        <f>+'VENTAS 2019'!F11</f>
        <v>43545</v>
      </c>
      <c r="E11" s="401" t="str">
        <f>+'VENTAS 2019'!H11</f>
        <v>8ºA</v>
      </c>
      <c r="F11" s="401" t="str">
        <f>+'VENTAS 2019'!J11</f>
        <v>RED</v>
      </c>
      <c r="G11" s="401" t="e">
        <f>+'VENTAS 2019'!#REF!</f>
        <v>#REF!</v>
      </c>
      <c r="H11" s="403">
        <f>+'VENTAS 2019'!K11</f>
        <v>52.35</v>
      </c>
      <c r="I11" s="528">
        <f t="shared" ref="I11:I13" si="1">+L11/J11</f>
        <v>48188.024844720494</v>
      </c>
      <c r="J11" s="528">
        <v>40.25</v>
      </c>
      <c r="K11" s="528">
        <f>+I11/H11</f>
        <v>920.49713170430744</v>
      </c>
      <c r="L11" s="404">
        <f>+'VENTAS 2019'!M11</f>
        <v>1939568</v>
      </c>
      <c r="M11" s="404">
        <f>+'VENTAS 2019'!N11</f>
        <v>37050.009551098374</v>
      </c>
      <c r="N11" s="50"/>
      <c r="O11" s="44"/>
      <c r="P11" s="47"/>
      <c r="Q11" s="239"/>
    </row>
    <row r="12" spans="1:17" x14ac:dyDescent="0.25">
      <c r="A12" s="2"/>
      <c r="B12" s="877"/>
      <c r="C12" s="516" t="str">
        <f>+'VENTAS 2019'!E12</f>
        <v>SPINDLER</v>
      </c>
      <c r="D12" s="402">
        <f>+'VENTAS 2019'!F12</f>
        <v>43545</v>
      </c>
      <c r="E12" s="401" t="str">
        <f>+'VENTAS 2019'!H12</f>
        <v>8ºC</v>
      </c>
      <c r="F12" s="401" t="str">
        <f>+'VENTAS 2019'!J12</f>
        <v>RED</v>
      </c>
      <c r="G12" s="401" t="e">
        <f>+'VENTAS 2019'!#REF!</f>
        <v>#REF!</v>
      </c>
      <c r="H12" s="403">
        <f>+'VENTAS 2019'!K12</f>
        <v>65.81</v>
      </c>
      <c r="I12" s="528">
        <f t="shared" si="1"/>
        <v>59926.260869565216</v>
      </c>
      <c r="J12" s="528">
        <v>40.25</v>
      </c>
      <c r="K12" s="528">
        <f>+I12/H12</f>
        <v>910.59505955880888</v>
      </c>
      <c r="L12" s="404">
        <f>+'VENTAS 2019'!M12</f>
        <v>2412032</v>
      </c>
      <c r="M12" s="404">
        <f>+'VENTAS 2019'!N12</f>
        <v>36651.451147242056</v>
      </c>
      <c r="N12" s="50"/>
      <c r="O12" s="44"/>
      <c r="P12" s="47"/>
      <c r="Q12" s="239"/>
    </row>
    <row r="13" spans="1:17" ht="15.75" thickBot="1" x14ac:dyDescent="0.3">
      <c r="A13" s="2"/>
      <c r="B13" s="935"/>
      <c r="C13" s="516" t="str">
        <f>+'VENTAS 2019'!E13</f>
        <v>PERONDI</v>
      </c>
      <c r="D13" s="402">
        <f>+'VENTAS 2019'!F13</f>
        <v>43532</v>
      </c>
      <c r="E13" s="401" t="str">
        <f>+'VENTAS 2019'!H13</f>
        <v>8ºE</v>
      </c>
      <c r="F13" s="401" t="str">
        <f>+'VENTAS 2019'!J13</f>
        <v>RED</v>
      </c>
      <c r="G13" s="401" t="e">
        <f>+'VENTAS 2019'!#REF!</f>
        <v>#REF!</v>
      </c>
      <c r="H13" s="403">
        <f>+'VENTAS 2019'!K13</f>
        <v>47.17</v>
      </c>
      <c r="I13" s="528">
        <f t="shared" si="1"/>
        <v>53835.703703703701</v>
      </c>
      <c r="J13" s="528">
        <v>40.5</v>
      </c>
      <c r="K13" s="528">
        <f t="shared" ref="K13" si="2">+I13/H13</f>
        <v>1141.3123532691054</v>
      </c>
      <c r="L13" s="404">
        <f>+'VENTAS 2019'!M13</f>
        <v>2180346</v>
      </c>
      <c r="M13" s="404">
        <f>+'VENTAS 2019'!N13</f>
        <v>46223.15030739877</v>
      </c>
      <c r="N13" s="49" t="s">
        <v>47</v>
      </c>
      <c r="O13" s="51">
        <f>SUM(L11:L13)</f>
        <v>6531946</v>
      </c>
      <c r="P13" s="48">
        <v>4440</v>
      </c>
      <c r="Q13" s="52">
        <f>+O13/P13</f>
        <v>1471.159009009009</v>
      </c>
    </row>
    <row r="14" spans="1:17" ht="15" customHeight="1" x14ac:dyDescent="0.25">
      <c r="A14" s="2"/>
      <c r="B14" s="942" t="s">
        <v>12</v>
      </c>
      <c r="C14" s="515" t="str">
        <f>+'VENTAS 2019'!E14</f>
        <v>FALSARESI</v>
      </c>
      <c r="D14" s="395">
        <f>+'VENTAS 2019'!F14</f>
        <v>43566</v>
      </c>
      <c r="E14" s="394" t="str">
        <f>+'VENTAS 2019'!H14</f>
        <v>3° PLANTA</v>
      </c>
      <c r="F14" s="394" t="str">
        <f>+'VENTAS 2019'!J14</f>
        <v>VITTALIA</v>
      </c>
      <c r="G14" s="394" t="e">
        <f>+'VENTAS 2019'!#REF!</f>
        <v>#REF!</v>
      </c>
      <c r="H14" s="397">
        <f>+'VENTAS 2019'!K14</f>
        <v>459.95</v>
      </c>
      <c r="I14" s="527">
        <f t="shared" ref="I14:I77" si="3">+L14/J14</f>
        <v>380000</v>
      </c>
      <c r="J14" s="527">
        <v>42.6</v>
      </c>
      <c r="K14" s="527">
        <f t="shared" ref="K14:K77" si="4">+I14/H14</f>
        <v>826.17675834329816</v>
      </c>
      <c r="L14" s="398">
        <f>+'VENTAS 2019'!M14</f>
        <v>16188000</v>
      </c>
      <c r="M14" s="398">
        <f>+'VENTAS 2019'!N14</f>
        <v>35195.129905424503</v>
      </c>
      <c r="N14" s="50"/>
      <c r="O14" s="44"/>
      <c r="P14" s="47"/>
      <c r="Q14" s="239"/>
    </row>
    <row r="15" spans="1:17" x14ac:dyDescent="0.25">
      <c r="A15" s="2"/>
      <c r="B15" s="943"/>
      <c r="C15" s="515" t="str">
        <f>+'VENTAS 2019'!E15</f>
        <v>FALSARESI</v>
      </c>
      <c r="D15" s="395">
        <f>+'VENTAS 2019'!F15</f>
        <v>43566</v>
      </c>
      <c r="E15" s="394" t="str">
        <f>+'VENTAS 2019'!H15</f>
        <v>COCH 29</v>
      </c>
      <c r="F15" s="394" t="str">
        <f>+'VENTAS 2019'!J15</f>
        <v>VITTALIA</v>
      </c>
      <c r="G15" s="394" t="e">
        <f>+'VENTAS 2019'!#REF!</f>
        <v>#REF!</v>
      </c>
      <c r="H15" s="397">
        <f>+'VENTAS 2019'!K15</f>
        <v>52</v>
      </c>
      <c r="I15" s="527"/>
      <c r="J15" s="527"/>
      <c r="K15" s="527"/>
      <c r="L15" s="398">
        <f>+'VENTAS 2019'!M15</f>
        <v>609008.5</v>
      </c>
      <c r="M15" s="398">
        <f>+'VENTAS 2019'!N15</f>
        <v>0</v>
      </c>
      <c r="N15" s="50"/>
      <c r="O15" s="44"/>
      <c r="P15" s="47"/>
      <c r="Q15" s="239"/>
    </row>
    <row r="16" spans="1:17" x14ac:dyDescent="0.25">
      <c r="A16" s="2"/>
      <c r="B16" s="943"/>
      <c r="C16" s="515" t="str">
        <f>+'VENTAS 2019'!E16</f>
        <v>FALSARESI</v>
      </c>
      <c r="D16" s="395">
        <f>+'VENTAS 2019'!F16</f>
        <v>43566</v>
      </c>
      <c r="E16" s="394" t="str">
        <f>+'VENTAS 2019'!H16</f>
        <v>COCH 30</v>
      </c>
      <c r="F16" s="394" t="str">
        <f>+'VENTAS 2019'!J16</f>
        <v>VITTALIA</v>
      </c>
      <c r="G16" s="394" t="e">
        <f>+'VENTAS 2019'!#REF!</f>
        <v>#REF!</v>
      </c>
      <c r="H16" s="397">
        <f>+'VENTAS 2019'!K16</f>
        <v>37.090000000000003</v>
      </c>
      <c r="I16" s="527"/>
      <c r="J16" s="527"/>
      <c r="K16" s="527"/>
      <c r="L16" s="398">
        <f>+'VENTAS 2019'!M16</f>
        <v>609008.5</v>
      </c>
      <c r="M16" s="398">
        <f>+'VENTAS 2019'!N16</f>
        <v>0</v>
      </c>
      <c r="N16" s="50"/>
      <c r="O16" s="44"/>
      <c r="P16" s="47"/>
      <c r="Q16" s="239"/>
    </row>
    <row r="17" spans="1:18" x14ac:dyDescent="0.25">
      <c r="A17" s="2"/>
      <c r="B17" s="943"/>
      <c r="C17" s="515" t="str">
        <f>+'VENTAS 2019'!E17</f>
        <v>TIVANO</v>
      </c>
      <c r="D17" s="395">
        <f>+'VENTAS 2019'!F17</f>
        <v>43558</v>
      </c>
      <c r="E17" s="394" t="str">
        <f>+'VENTAS 2019'!H17</f>
        <v>15° B</v>
      </c>
      <c r="F17" s="394" t="str">
        <f>+'VENTAS 2019'!J17</f>
        <v>LINK</v>
      </c>
      <c r="G17" s="394" t="e">
        <f>+'VENTAS 2019'!#REF!</f>
        <v>#REF!</v>
      </c>
      <c r="H17" s="397">
        <f>+'VENTAS 2019'!K17</f>
        <v>64.959999999999994</v>
      </c>
      <c r="I17" s="527">
        <f t="shared" si="3"/>
        <v>62520.187793427227</v>
      </c>
      <c r="J17" s="527">
        <v>42.6</v>
      </c>
      <c r="K17" s="527">
        <f t="shared" si="4"/>
        <v>962.44131455399065</v>
      </c>
      <c r="L17" s="398">
        <f>+'VENTAS 2019'!M17</f>
        <v>2663360</v>
      </c>
      <c r="M17" s="398">
        <f>+'VENTAS 2019'!N17</f>
        <v>41000.000000000007</v>
      </c>
      <c r="N17" s="50"/>
      <c r="O17" s="44"/>
      <c r="P17" s="47"/>
      <c r="Q17" s="239"/>
    </row>
    <row r="18" spans="1:18" x14ac:dyDescent="0.25">
      <c r="A18" s="2"/>
      <c r="B18" s="943"/>
      <c r="C18" s="515" t="str">
        <f>+'VENTAS 2019'!E18</f>
        <v>OCHOA</v>
      </c>
      <c r="D18" s="395">
        <f>+'VENTAS 2019'!F18</f>
        <v>43573</v>
      </c>
      <c r="E18" s="394" t="str">
        <f>+'VENTAS 2019'!H18</f>
        <v>4° E</v>
      </c>
      <c r="F18" s="394" t="str">
        <f>+'VENTAS 2019'!J18</f>
        <v>ARGIA</v>
      </c>
      <c r="G18" s="394" t="e">
        <f>+'VENTAS 2019'!#REF!</f>
        <v>#REF!</v>
      </c>
      <c r="H18" s="397">
        <f>+'VENTAS 2019'!K18</f>
        <v>55.49</v>
      </c>
      <c r="I18" s="527">
        <f t="shared" si="3"/>
        <v>50458.715596330272</v>
      </c>
      <c r="J18" s="527">
        <v>43.6</v>
      </c>
      <c r="K18" s="527">
        <f t="shared" si="4"/>
        <v>909.32989000414977</v>
      </c>
      <c r="L18" s="398">
        <f>+'VENTAS 2019'!M18</f>
        <v>2200000</v>
      </c>
      <c r="M18" s="398">
        <f>+'VENTAS 2019'!N18</f>
        <v>39646.783204180931</v>
      </c>
      <c r="N18" s="50"/>
      <c r="O18" s="44"/>
      <c r="P18" s="47"/>
      <c r="Q18" s="239"/>
    </row>
    <row r="19" spans="1:18" x14ac:dyDescent="0.25">
      <c r="A19" s="2"/>
      <c r="B19" s="943"/>
      <c r="C19" s="515" t="str">
        <f>+'VENTAS 2019'!E19</f>
        <v>LISCHINSKY</v>
      </c>
      <c r="D19" s="395">
        <f>+'VENTAS 2019'!F19</f>
        <v>43573</v>
      </c>
      <c r="E19" s="394" t="str">
        <f>+'VENTAS 2019'!H19</f>
        <v>6° B</v>
      </c>
      <c r="F19" s="394" t="str">
        <f>+'VENTAS 2019'!J19</f>
        <v>ARGIA</v>
      </c>
      <c r="G19" s="394" t="e">
        <f>+'VENTAS 2019'!#REF!</f>
        <v>#REF!</v>
      </c>
      <c r="H19" s="397">
        <f>+'VENTAS 2019'!K19</f>
        <v>103.5</v>
      </c>
      <c r="I19" s="527">
        <f t="shared" si="3"/>
        <v>104324.83490566038</v>
      </c>
      <c r="J19" s="527">
        <v>42.4</v>
      </c>
      <c r="K19" s="527">
        <f t="shared" si="4"/>
        <v>1007.9694193783612</v>
      </c>
      <c r="L19" s="398">
        <f>+'VENTAS 2019'!M19</f>
        <v>4423373</v>
      </c>
      <c r="M19" s="398">
        <f>+'VENTAS 2019'!N19</f>
        <v>42737.903381642514</v>
      </c>
      <c r="N19" s="50"/>
      <c r="O19" s="44"/>
      <c r="P19" s="47"/>
      <c r="Q19" s="239"/>
    </row>
    <row r="20" spans="1:18" x14ac:dyDescent="0.25">
      <c r="A20" s="2"/>
      <c r="B20" s="943"/>
      <c r="C20" s="515" t="str">
        <f>+'VENTAS 2019'!E20</f>
        <v>KEPES</v>
      </c>
      <c r="D20" s="395">
        <f>+'VENTAS 2019'!F20</f>
        <v>43558</v>
      </c>
      <c r="E20" s="394" t="str">
        <f>+'VENTAS 2019'!H20</f>
        <v>10ºG</v>
      </c>
      <c r="F20" s="394" t="str">
        <f>+'VENTAS 2019'!J20</f>
        <v>ZOE</v>
      </c>
      <c r="G20" s="394" t="e">
        <f>+'VENTAS 2019'!#REF!</f>
        <v>#REF!</v>
      </c>
      <c r="H20" s="397">
        <f>+'VENTAS 2019'!K20</f>
        <v>40.61</v>
      </c>
      <c r="I20" s="527">
        <f t="shared" si="3"/>
        <v>38721.162790697672</v>
      </c>
      <c r="J20" s="527">
        <v>43</v>
      </c>
      <c r="K20" s="527">
        <f t="shared" si="4"/>
        <v>953.48837209302326</v>
      </c>
      <c r="L20" s="398">
        <f>+'VENTAS 2019'!M20</f>
        <v>1665010</v>
      </c>
      <c r="M20" s="398">
        <f>+'VENTAS 2019'!N20</f>
        <v>41000</v>
      </c>
      <c r="N20" s="50"/>
      <c r="O20" s="44"/>
      <c r="P20" s="47"/>
      <c r="Q20" s="239"/>
    </row>
    <row r="21" spans="1:18" x14ac:dyDescent="0.25">
      <c r="A21" s="2"/>
      <c r="B21" s="943"/>
      <c r="C21" s="515" t="str">
        <f>+'VENTAS 2019'!E21</f>
        <v>KEPES</v>
      </c>
      <c r="D21" s="395">
        <f>+'VENTAS 2019'!F21</f>
        <v>43558</v>
      </c>
      <c r="E21" s="394" t="str">
        <f>+'VENTAS 2019'!H21</f>
        <v>11ºG</v>
      </c>
      <c r="F21" s="394" t="str">
        <f>+'VENTAS 2019'!J21</f>
        <v>ZOE</v>
      </c>
      <c r="G21" s="394" t="e">
        <f>+'VENTAS 2019'!#REF!</f>
        <v>#REF!</v>
      </c>
      <c r="H21" s="397">
        <f>+'VENTAS 2019'!K21</f>
        <v>40.61</v>
      </c>
      <c r="I21" s="527">
        <f t="shared" si="3"/>
        <v>38721.162790697672</v>
      </c>
      <c r="J21" s="527">
        <v>43</v>
      </c>
      <c r="K21" s="527">
        <f t="shared" si="4"/>
        <v>953.48837209302326</v>
      </c>
      <c r="L21" s="398">
        <f>+'VENTAS 2019'!M21</f>
        <v>1665010</v>
      </c>
      <c r="M21" s="398">
        <f>+'VENTAS 2019'!N21</f>
        <v>41000</v>
      </c>
    </row>
    <row r="22" spans="1:18" x14ac:dyDescent="0.25">
      <c r="A22" s="2"/>
      <c r="B22" s="943"/>
      <c r="C22" s="515" t="str">
        <f>+'VENTAS 2019'!E22</f>
        <v>RASGUIDO</v>
      </c>
      <c r="D22" s="395">
        <f>+'VENTAS 2019'!F22</f>
        <v>43585</v>
      </c>
      <c r="E22" s="394" t="str">
        <f>+'VENTAS 2019'!H22</f>
        <v>4ºG</v>
      </c>
      <c r="F22" s="394" t="str">
        <f>+'VENTAS 2019'!J22</f>
        <v>ZOE</v>
      </c>
      <c r="G22" s="394" t="e">
        <f>+'VENTAS 2019'!#REF!</f>
        <v>#REF!</v>
      </c>
      <c r="H22" s="397">
        <f>+'VENTAS 2019'!K22</f>
        <v>40.61</v>
      </c>
      <c r="I22" s="527">
        <f t="shared" si="3"/>
        <v>38324.989010989011</v>
      </c>
      <c r="J22" s="527">
        <v>45.5</v>
      </c>
      <c r="K22" s="527">
        <f t="shared" si="4"/>
        <v>943.7328000736029</v>
      </c>
      <c r="L22" s="398">
        <f>+'VENTAS 2019'!M22</f>
        <v>1743787</v>
      </c>
      <c r="M22" s="613">
        <f>+'VENTAS 2019'!N22</f>
        <v>42939.842403348928</v>
      </c>
      <c r="N22" s="50"/>
      <c r="O22" s="218"/>
      <c r="P22" s="140"/>
      <c r="Q22" s="141"/>
      <c r="R22" s="60"/>
    </row>
    <row r="23" spans="1:18" ht="15.75" thickBot="1" x14ac:dyDescent="0.3">
      <c r="A23" s="2"/>
      <c r="B23" s="944"/>
      <c r="C23" s="515" t="str">
        <f>+'VENTAS 2019'!E23</f>
        <v>RASGUIDO</v>
      </c>
      <c r="D23" s="395">
        <f>+'VENTAS 2019'!F23</f>
        <v>43585</v>
      </c>
      <c r="E23" s="394" t="str">
        <f>+'VENTAS 2019'!H23</f>
        <v>5ºG</v>
      </c>
      <c r="F23" s="394" t="str">
        <f>+'VENTAS 2019'!J23</f>
        <v>ZOE</v>
      </c>
      <c r="G23" s="394" t="e">
        <f>+'VENTAS 2019'!#REF!</f>
        <v>#REF!</v>
      </c>
      <c r="H23" s="397">
        <f>+'VENTAS 2019'!K23</f>
        <v>40.61</v>
      </c>
      <c r="I23" s="527">
        <f t="shared" si="3"/>
        <v>38324.989010989011</v>
      </c>
      <c r="J23" s="527">
        <v>45.5</v>
      </c>
      <c r="K23" s="527">
        <f t="shared" si="4"/>
        <v>943.7328000736029</v>
      </c>
      <c r="L23" s="398">
        <f>+'VENTAS 2019'!M23</f>
        <v>1743787</v>
      </c>
      <c r="M23" s="613">
        <f>+'VENTAS 2019'!N23</f>
        <v>42939.842403348928</v>
      </c>
      <c r="N23" s="49" t="s">
        <v>150</v>
      </c>
      <c r="O23" s="51">
        <f>SUM(L14:L23)</f>
        <v>33510344</v>
      </c>
      <c r="P23" s="48">
        <v>4565</v>
      </c>
      <c r="Q23" s="52">
        <f>+O23/P23</f>
        <v>7340.710624315444</v>
      </c>
      <c r="R23" s="60"/>
    </row>
    <row r="24" spans="1:18" ht="14.25" customHeight="1" thickBot="1" x14ac:dyDescent="0.3">
      <c r="A24" s="2"/>
      <c r="B24" s="589" t="s">
        <v>15</v>
      </c>
      <c r="C24" s="516" t="str">
        <f>+'VENTAS 2019'!E24</f>
        <v>SEITA</v>
      </c>
      <c r="D24" s="402">
        <f>+'VENTAS 2019'!F24</f>
        <v>43591</v>
      </c>
      <c r="E24" s="401" t="str">
        <f>+'VENTAS 2019'!H24</f>
        <v>6ºC</v>
      </c>
      <c r="F24" s="401" t="str">
        <f>+'VENTAS 2019'!J24</f>
        <v>GREEN</v>
      </c>
      <c r="G24" s="401" t="e">
        <f>+'VENTAS 2019'!#REF!</f>
        <v>#REF!</v>
      </c>
      <c r="H24" s="403">
        <f>+'VENTAS 2019'!K24</f>
        <v>41.38</v>
      </c>
      <c r="I24" s="528">
        <f t="shared" si="3"/>
        <v>30893.760869565216</v>
      </c>
      <c r="J24" s="528">
        <v>46</v>
      </c>
      <c r="K24" s="528">
        <f t="shared" si="4"/>
        <v>746.58677790152763</v>
      </c>
      <c r="L24" s="404">
        <f>+'VENTAS 2019'!M24</f>
        <v>1421113</v>
      </c>
      <c r="M24" s="404">
        <f>+'VENTAS 2019'!N24</f>
        <v>34342.991783470272</v>
      </c>
      <c r="N24" s="49" t="s">
        <v>46</v>
      </c>
      <c r="O24" s="51">
        <f>SUM(L24)</f>
        <v>1421113</v>
      </c>
      <c r="P24" s="48">
        <v>4715</v>
      </c>
      <c r="Q24" s="52">
        <f>+O24/P24</f>
        <v>301.40254506892893</v>
      </c>
    </row>
    <row r="25" spans="1:18" ht="15" customHeight="1" x14ac:dyDescent="0.25">
      <c r="A25" s="4"/>
      <c r="B25" s="936" t="s">
        <v>24</v>
      </c>
      <c r="C25" s="515" t="str">
        <f>+'VENTAS 2019'!E25</f>
        <v>TENSOLITE</v>
      </c>
      <c r="D25" s="395">
        <f>+'VENTAS 2019'!F25</f>
        <v>43623</v>
      </c>
      <c r="E25" s="394" t="str">
        <f>+'VENTAS 2019'!H25</f>
        <v>1ºG</v>
      </c>
      <c r="F25" s="394" t="str">
        <f>+'VENTAS 2019'!J25</f>
        <v>ZOE</v>
      </c>
      <c r="G25" s="394" t="e">
        <f>+'VENTAS 2019'!#REF!</f>
        <v>#REF!</v>
      </c>
      <c r="H25" s="397">
        <f>+'VENTAS 2019'!K25</f>
        <v>40.61</v>
      </c>
      <c r="I25" s="527">
        <f t="shared" si="3"/>
        <v>36604.189636163173</v>
      </c>
      <c r="J25" s="527">
        <v>45.35</v>
      </c>
      <c r="K25" s="527">
        <f t="shared" si="4"/>
        <v>901.35901591142999</v>
      </c>
      <c r="L25" s="398">
        <f>+'VENTAS 2019'!M25</f>
        <v>1660000</v>
      </c>
      <c r="M25" s="398">
        <f>+'VENTAS 2019'!N25</f>
        <v>40876.631371583353</v>
      </c>
      <c r="N25" s="50"/>
      <c r="O25" s="44"/>
      <c r="P25" s="47"/>
      <c r="Q25" s="239"/>
    </row>
    <row r="26" spans="1:18" x14ac:dyDescent="0.25">
      <c r="A26" s="4"/>
      <c r="B26" s="937"/>
      <c r="C26" s="515" t="str">
        <f>+'VENTAS 2019'!E26</f>
        <v>TENSOLITE</v>
      </c>
      <c r="D26" s="395">
        <f>+'VENTAS 2019'!F26</f>
        <v>43623</v>
      </c>
      <c r="E26" s="394" t="str">
        <f>+'VENTAS 2019'!H26</f>
        <v>7ºE</v>
      </c>
      <c r="F26" s="394" t="str">
        <f>+'VENTAS 2019'!J26</f>
        <v>ZOE</v>
      </c>
      <c r="G26" s="394" t="e">
        <f>+'VENTAS 2019'!#REF!</f>
        <v>#REF!</v>
      </c>
      <c r="H26" s="397">
        <f>+'VENTAS 2019'!K26</f>
        <v>40.61</v>
      </c>
      <c r="I26" s="527">
        <f t="shared" si="3"/>
        <v>36604.189636163173</v>
      </c>
      <c r="J26" s="527">
        <v>45.35</v>
      </c>
      <c r="K26" s="527">
        <f t="shared" si="4"/>
        <v>901.35901591142999</v>
      </c>
      <c r="L26" s="398">
        <f>+'VENTAS 2019'!M26</f>
        <v>1660000</v>
      </c>
      <c r="M26" s="398">
        <f>+'VENTAS 2019'!N26</f>
        <v>40876.631371583353</v>
      </c>
      <c r="N26" s="50"/>
      <c r="O26" s="44"/>
      <c r="P26" s="47"/>
      <c r="Q26" s="239"/>
    </row>
    <row r="27" spans="1:18" x14ac:dyDescent="0.25">
      <c r="A27" s="4"/>
      <c r="B27" s="937"/>
      <c r="C27" s="515" t="str">
        <f>+'VENTAS 2019'!E27</f>
        <v>TENSOLITE</v>
      </c>
      <c r="D27" s="395">
        <f>+'VENTAS 2019'!F27</f>
        <v>43623</v>
      </c>
      <c r="E27" s="394" t="str">
        <f>+'VENTAS 2019'!H27</f>
        <v>COCH</v>
      </c>
      <c r="F27" s="394" t="str">
        <f>+'VENTAS 2019'!J27</f>
        <v>ZOE</v>
      </c>
      <c r="G27" s="394" t="e">
        <f>+'VENTAS 2019'!#REF!</f>
        <v>#REF!</v>
      </c>
      <c r="H27" s="397">
        <f>+'VENTAS 2019'!K27</f>
        <v>19.77</v>
      </c>
      <c r="I27" s="527"/>
      <c r="J27" s="527"/>
      <c r="K27" s="527"/>
      <c r="L27" s="398">
        <f>+'VENTAS 2019'!M27</f>
        <v>430000</v>
      </c>
      <c r="M27" s="398">
        <f>+'VENTAS 2019'!N27</f>
        <v>0</v>
      </c>
      <c r="N27" s="50"/>
      <c r="O27" s="44"/>
      <c r="P27" s="47"/>
      <c r="Q27" s="239"/>
    </row>
    <row r="28" spans="1:18" x14ac:dyDescent="0.25">
      <c r="A28" s="4"/>
      <c r="B28" s="937"/>
      <c r="C28" s="515" t="str">
        <f>+'VENTAS 2019'!E28</f>
        <v>TENSOLITE</v>
      </c>
      <c r="D28" s="395">
        <f>+'VENTAS 2019'!F28</f>
        <v>43623</v>
      </c>
      <c r="E28" s="394" t="str">
        <f>+'VENTAS 2019'!H28</f>
        <v>COCH</v>
      </c>
      <c r="F28" s="394" t="str">
        <f>+'VENTAS 2019'!J28</f>
        <v>ZOE</v>
      </c>
      <c r="G28" s="394" t="e">
        <f>+'VENTAS 2019'!#REF!</f>
        <v>#REF!</v>
      </c>
      <c r="H28" s="397">
        <f>+'VENTAS 2019'!K28</f>
        <v>19.77</v>
      </c>
      <c r="I28" s="527"/>
      <c r="J28" s="527"/>
      <c r="K28" s="527"/>
      <c r="L28" s="398">
        <f>+'VENTAS 2019'!M28</f>
        <v>430000</v>
      </c>
      <c r="M28" s="398">
        <f>+'VENTAS 2019'!N28</f>
        <v>0</v>
      </c>
      <c r="N28" s="50"/>
      <c r="O28" s="44"/>
      <c r="P28" s="47"/>
      <c r="Q28" s="239"/>
    </row>
    <row r="29" spans="1:18" x14ac:dyDescent="0.25">
      <c r="A29" s="4"/>
      <c r="B29" s="937"/>
      <c r="C29" s="515" t="str">
        <f>+'VENTAS 2019'!E29</f>
        <v>SUSTAITA</v>
      </c>
      <c r="D29" s="395">
        <f>+'VENTAS 2019'!F29</f>
        <v>43637</v>
      </c>
      <c r="E29" s="394" t="str">
        <f>+'VENTAS 2019'!H29</f>
        <v>11ºA</v>
      </c>
      <c r="F29" s="394" t="str">
        <f>+'VENTAS 2019'!J29</f>
        <v>BLUE</v>
      </c>
      <c r="G29" s="394" t="e">
        <f>+'VENTAS 2019'!#REF!</f>
        <v>#REF!</v>
      </c>
      <c r="H29" s="397">
        <f>+'VENTAS 2019'!K29</f>
        <v>56.71</v>
      </c>
      <c r="I29" s="527">
        <f t="shared" si="3"/>
        <v>46666.666666666664</v>
      </c>
      <c r="J29" s="527">
        <v>45</v>
      </c>
      <c r="K29" s="527">
        <f t="shared" si="4"/>
        <v>822.90013519073648</v>
      </c>
      <c r="L29" s="398">
        <f>+'VENTAS 2019'!M29</f>
        <v>2100000</v>
      </c>
      <c r="M29" s="398">
        <f>+'VENTAS 2019'!N29</f>
        <v>37030.506083583139</v>
      </c>
      <c r="N29" s="50"/>
      <c r="O29" s="44"/>
      <c r="P29" s="47"/>
      <c r="Q29" s="239"/>
    </row>
    <row r="30" spans="1:18" x14ac:dyDescent="0.25">
      <c r="A30" s="4"/>
      <c r="B30" s="937"/>
      <c r="C30" s="515" t="str">
        <f>+'VENTAS 2019'!E30</f>
        <v>GETTAR</v>
      </c>
      <c r="D30" s="395">
        <f>+'VENTAS 2019'!F30</f>
        <v>43640</v>
      </c>
      <c r="E30" s="394" t="str">
        <f>+'VENTAS 2019'!H30</f>
        <v>4ºE</v>
      </c>
      <c r="F30" s="394" t="str">
        <f>+'VENTAS 2019'!J30</f>
        <v>ARGIA</v>
      </c>
      <c r="G30" s="394" t="e">
        <f>+'VENTAS 2019'!#REF!</f>
        <v>#REF!</v>
      </c>
      <c r="H30" s="397">
        <f>+'VENTAS 2019'!K30</f>
        <v>55.49</v>
      </c>
      <c r="I30" s="527">
        <f t="shared" si="3"/>
        <v>50144.444444444445</v>
      </c>
      <c r="J30" s="527">
        <v>45</v>
      </c>
      <c r="K30" s="527">
        <f t="shared" si="4"/>
        <v>903.66632626499268</v>
      </c>
      <c r="L30" s="398">
        <f>+'VENTAS 2019'!M30</f>
        <v>2256500</v>
      </c>
      <c r="M30" s="398">
        <f>+'VENTAS 2019'!N30</f>
        <v>40664.984681924667</v>
      </c>
      <c r="N30" s="50"/>
      <c r="O30" s="44"/>
      <c r="P30" s="47"/>
      <c r="Q30" s="239"/>
    </row>
    <row r="31" spans="1:18" x14ac:dyDescent="0.25">
      <c r="A31" s="4"/>
      <c r="B31" s="937"/>
      <c r="C31" s="515" t="str">
        <f>+'VENTAS 2019'!E31</f>
        <v xml:space="preserve">BALLESPIN </v>
      </c>
      <c r="D31" s="395">
        <f>+'VENTAS 2019'!F31</f>
        <v>43643</v>
      </c>
      <c r="E31" s="394" t="str">
        <f>+'VENTAS 2019'!H31</f>
        <v>9ºC</v>
      </c>
      <c r="F31" s="394" t="str">
        <f>+'VENTAS 2019'!J31</f>
        <v>ARGIA</v>
      </c>
      <c r="G31" s="394" t="e">
        <f>+'VENTAS 2019'!#REF!</f>
        <v>#REF!</v>
      </c>
      <c r="H31" s="397">
        <f>+'VENTAS 2019'!K31</f>
        <v>50.6</v>
      </c>
      <c r="I31" s="527">
        <f t="shared" si="3"/>
        <v>49942.462600690444</v>
      </c>
      <c r="J31" s="527">
        <v>43.45</v>
      </c>
      <c r="K31" s="527">
        <f t="shared" si="4"/>
        <v>987.00518973696524</v>
      </c>
      <c r="L31" s="398">
        <f>+'VENTAS 2019'!M31</f>
        <v>2170000</v>
      </c>
      <c r="M31" s="398">
        <f>+'VENTAS 2019'!N31</f>
        <v>42885.375494071144</v>
      </c>
      <c r="N31" s="50"/>
      <c r="O31" s="44"/>
      <c r="P31" s="47"/>
      <c r="Q31" s="239"/>
    </row>
    <row r="32" spans="1:18" x14ac:dyDescent="0.25">
      <c r="A32" s="4"/>
      <c r="B32" s="937"/>
      <c r="C32" s="515" t="str">
        <f>+'VENTAS 2019'!E32</f>
        <v>RODRIGUEZ</v>
      </c>
      <c r="D32" s="395">
        <f>+'VENTAS 2019'!F32</f>
        <v>43644</v>
      </c>
      <c r="E32" s="394" t="str">
        <f>+'VENTAS 2019'!H32</f>
        <v>11º B</v>
      </c>
      <c r="F32" s="394" t="str">
        <f>+'VENTAS 2019'!J32</f>
        <v>ZOE</v>
      </c>
      <c r="G32" s="394" t="e">
        <f>+'VENTAS 2019'!#REF!</f>
        <v>#REF!</v>
      </c>
      <c r="H32" s="397">
        <f>+'VENTAS 2019'!K32</f>
        <v>37.17</v>
      </c>
      <c r="I32" s="527">
        <f t="shared" si="3"/>
        <v>31333.333333333332</v>
      </c>
      <c r="J32" s="527">
        <v>45</v>
      </c>
      <c r="K32" s="527">
        <f t="shared" si="4"/>
        <v>842.97372432965642</v>
      </c>
      <c r="L32" s="398">
        <f>+'VENTAS 2019'!M32</f>
        <v>1410000</v>
      </c>
      <c r="M32" s="398">
        <f>+'VENTAS 2019'!N32</f>
        <v>37933.817594834545</v>
      </c>
    </row>
    <row r="33" spans="1:17" ht="15" customHeight="1" x14ac:dyDescent="0.25">
      <c r="A33" s="4"/>
      <c r="B33" s="937"/>
      <c r="C33" s="515" t="str">
        <f>+'VENTAS 2019'!E33</f>
        <v>RODRIGUEZ</v>
      </c>
      <c r="D33" s="395">
        <f>+'VENTAS 2019'!F33</f>
        <v>43644</v>
      </c>
      <c r="E33" s="394" t="str">
        <f>+'VENTAS 2019'!H33</f>
        <v>12º B</v>
      </c>
      <c r="F33" s="394" t="str">
        <f>+'VENTAS 2019'!J33</f>
        <v>ZOE</v>
      </c>
      <c r="G33" s="394" t="e">
        <f>+'VENTAS 2019'!#REF!</f>
        <v>#REF!</v>
      </c>
      <c r="H33" s="397">
        <f>+'VENTAS 2019'!K33</f>
        <v>37.17</v>
      </c>
      <c r="I33" s="527">
        <f t="shared" si="3"/>
        <v>31333.333333333332</v>
      </c>
      <c r="J33" s="527">
        <v>45</v>
      </c>
      <c r="K33" s="527">
        <f t="shared" si="4"/>
        <v>842.97372432965642</v>
      </c>
      <c r="L33" s="398">
        <f>+'VENTAS 2019'!M33</f>
        <v>1410000</v>
      </c>
      <c r="M33" s="398">
        <f>+'VENTAS 2019'!N33</f>
        <v>37933.817594834545</v>
      </c>
      <c r="N33" s="50"/>
      <c r="O33" s="44"/>
      <c r="P33" s="47"/>
      <c r="Q33" s="239"/>
    </row>
    <row r="34" spans="1:17" ht="15.75" thickBot="1" x14ac:dyDescent="0.3">
      <c r="A34" s="4"/>
      <c r="B34" s="938"/>
      <c r="C34" s="515" t="str">
        <f>+'VENTAS 2019'!E34</f>
        <v>RODRIGUEZ</v>
      </c>
      <c r="D34" s="395">
        <f>+'VENTAS 2019'!F34</f>
        <v>43644</v>
      </c>
      <c r="E34" s="394" t="str">
        <f>+'VENTAS 2019'!H34</f>
        <v>13º B</v>
      </c>
      <c r="F34" s="394" t="str">
        <f>+'VENTAS 2019'!J34</f>
        <v>ZOE</v>
      </c>
      <c r="G34" s="394" t="e">
        <f>+'VENTAS 2019'!#REF!</f>
        <v>#REF!</v>
      </c>
      <c r="H34" s="397">
        <f>+'VENTAS 2019'!K34</f>
        <v>37.17</v>
      </c>
      <c r="I34" s="527">
        <f t="shared" si="3"/>
        <v>31333.333333333332</v>
      </c>
      <c r="J34" s="527">
        <v>45</v>
      </c>
      <c r="K34" s="527">
        <f t="shared" si="4"/>
        <v>842.97372432965642</v>
      </c>
      <c r="L34" s="398">
        <f>+'VENTAS 2019'!M34</f>
        <v>1410000</v>
      </c>
      <c r="M34" s="398">
        <f>+'VENTAS 2019'!N34</f>
        <v>37933.817594834545</v>
      </c>
      <c r="N34" s="49" t="s">
        <v>24</v>
      </c>
      <c r="O34" s="51">
        <f>SUM(L25:L34)</f>
        <v>14936500</v>
      </c>
      <c r="P34" s="48">
        <v>4865</v>
      </c>
      <c r="Q34" s="52">
        <f>+O34/P34</f>
        <v>3070.1952723535455</v>
      </c>
    </row>
    <row r="35" spans="1:17" ht="27.75" customHeight="1" x14ac:dyDescent="0.25">
      <c r="A35" s="4"/>
      <c r="B35" s="876" t="s">
        <v>29</v>
      </c>
      <c r="C35" s="516" t="str">
        <f>+'VENTAS 2019'!E35</f>
        <v>SUSTAITA</v>
      </c>
      <c r="D35" s="402">
        <f>+'VENTAS 2019'!F35</f>
        <v>43664</v>
      </c>
      <c r="E35" s="401" t="str">
        <f>+'VENTAS 2019'!H35</f>
        <v>15º D</v>
      </c>
      <c r="F35" s="401" t="str">
        <f>+'VENTAS 2019'!J35</f>
        <v>ZOE</v>
      </c>
      <c r="G35" s="401" t="e">
        <f>+'VENTAS 2019'!#REF!</f>
        <v>#REF!</v>
      </c>
      <c r="H35" s="403">
        <f>+'VENTAS 2019'!K35</f>
        <v>40.86</v>
      </c>
      <c r="I35" s="528">
        <f t="shared" si="3"/>
        <v>31268.400315208826</v>
      </c>
      <c r="J35" s="528">
        <v>47</v>
      </c>
      <c r="K35" s="528">
        <f t="shared" si="4"/>
        <v>765.25698275107266</v>
      </c>
      <c r="L35" s="404">
        <f>+'VENTAS 2019'!M35</f>
        <v>1469614.8148148148</v>
      </c>
      <c r="M35" s="404">
        <f>+'VENTAS 2019'!N35</f>
        <v>35967.07818930041</v>
      </c>
      <c r="N35" s="50"/>
      <c r="O35" s="44"/>
      <c r="P35" s="47"/>
      <c r="Q35" s="239"/>
    </row>
    <row r="36" spans="1:17" x14ac:dyDescent="0.25">
      <c r="A36" s="4"/>
      <c r="B36" s="877"/>
      <c r="C36" s="516" t="str">
        <f>+'VENTAS 2019'!E36</f>
        <v>SUSTAITA</v>
      </c>
      <c r="D36" s="402">
        <f>+'VENTAS 2019'!F36</f>
        <v>43664</v>
      </c>
      <c r="E36" s="401" t="str">
        <f>+'VENTAS 2019'!H36</f>
        <v>15º E</v>
      </c>
      <c r="F36" s="401" t="str">
        <f>+'VENTAS 2019'!J36</f>
        <v>ZOE</v>
      </c>
      <c r="G36" s="401" t="e">
        <f>+'VENTAS 2019'!#REF!</f>
        <v>#REF!</v>
      </c>
      <c r="H36" s="403">
        <f>+'VENTAS 2019'!K36</f>
        <v>46.62</v>
      </c>
      <c r="I36" s="528">
        <f t="shared" si="3"/>
        <v>35676.28053585501</v>
      </c>
      <c r="J36" s="528">
        <v>47</v>
      </c>
      <c r="K36" s="528">
        <f t="shared" si="4"/>
        <v>765.25698275107277</v>
      </c>
      <c r="L36" s="404">
        <f>+'VENTAS 2019'!M36</f>
        <v>1676785.1851851854</v>
      </c>
      <c r="M36" s="404">
        <f>+'VENTAS 2019'!N36</f>
        <v>35967.078189300417</v>
      </c>
      <c r="N36" s="50"/>
      <c r="O36" s="44"/>
      <c r="P36" s="47"/>
      <c r="Q36" s="239"/>
    </row>
    <row r="37" spans="1:17" x14ac:dyDescent="0.25">
      <c r="A37" s="4"/>
      <c r="B37" s="877"/>
      <c r="C37" s="516" t="str">
        <f>+'VENTAS 2019'!E37</f>
        <v xml:space="preserve">BALLESPIN </v>
      </c>
      <c r="D37" s="402">
        <f>+'VENTAS 2019'!F37</f>
        <v>43668</v>
      </c>
      <c r="E37" s="401" t="str">
        <f>+'VENTAS 2019'!H37</f>
        <v>9ºD</v>
      </c>
      <c r="F37" s="401" t="str">
        <f>+'VENTAS 2019'!J37</f>
        <v>ARGIA</v>
      </c>
      <c r="G37" s="401" t="e">
        <f>+'VENTAS 2019'!#REF!</f>
        <v>#REF!</v>
      </c>
      <c r="H37" s="403">
        <f>+'VENTAS 2019'!K37</f>
        <v>63.09</v>
      </c>
      <c r="I37" s="528">
        <f t="shared" si="3"/>
        <v>62250.76212471132</v>
      </c>
      <c r="J37" s="528">
        <v>43.3</v>
      </c>
      <c r="K37" s="528">
        <f t="shared" si="4"/>
        <v>986.69776707420067</v>
      </c>
      <c r="L37" s="404">
        <f>+'VENTAS 2019'!M37</f>
        <v>2695458</v>
      </c>
      <c r="M37" s="404">
        <f>+'VENTAS 2019'!N37</f>
        <v>42724.013314312884</v>
      </c>
      <c r="N37" s="50"/>
      <c r="O37" s="44"/>
      <c r="P37" s="47"/>
      <c r="Q37" s="239"/>
    </row>
    <row r="38" spans="1:17" x14ac:dyDescent="0.25">
      <c r="A38" s="4"/>
      <c r="B38" s="877"/>
      <c r="C38" s="516" t="str">
        <f>+'VENTAS 2019'!E38</f>
        <v xml:space="preserve">NARDI </v>
      </c>
      <c r="D38" s="402">
        <f>+'VENTAS 2019'!F38</f>
        <v>43662</v>
      </c>
      <c r="E38" s="401" t="str">
        <f>+'VENTAS 2019'!H38</f>
        <v>13ºE</v>
      </c>
      <c r="F38" s="401" t="str">
        <f>+'VENTAS 2019'!J38</f>
        <v>ARGIA</v>
      </c>
      <c r="G38" s="401" t="e">
        <f>+'VENTAS 2019'!#REF!</f>
        <v>#REF!</v>
      </c>
      <c r="H38" s="403">
        <f>+'VENTAS 2019'!K38</f>
        <v>55.49</v>
      </c>
      <c r="I38" s="528">
        <f t="shared" si="3"/>
        <v>54298.425171624716</v>
      </c>
      <c r="J38" s="528">
        <v>43.7</v>
      </c>
      <c r="K38" s="528">
        <f t="shared" si="4"/>
        <v>978.52631413992992</v>
      </c>
      <c r="L38" s="404">
        <f>+'VENTAS 2019'!M38</f>
        <v>2372841.1800000002</v>
      </c>
      <c r="M38" s="404">
        <f>+'VENTAS 2019'!N38</f>
        <v>42761.59992791494</v>
      </c>
      <c r="N38" s="50"/>
      <c r="O38" s="44"/>
      <c r="P38" s="47"/>
      <c r="Q38" s="239"/>
    </row>
    <row r="39" spans="1:17" x14ac:dyDescent="0.25">
      <c r="A39" s="4"/>
      <c r="B39" s="877"/>
      <c r="C39" s="516" t="str">
        <f>+'VENTAS 2019'!E39</f>
        <v xml:space="preserve">NARDI </v>
      </c>
      <c r="D39" s="402">
        <f>+'VENTAS 2019'!F39</f>
        <v>43662</v>
      </c>
      <c r="E39" s="401" t="str">
        <f>+'VENTAS 2019'!H39</f>
        <v>11ºB</v>
      </c>
      <c r="F39" s="401" t="str">
        <f>+'VENTAS 2019'!J39</f>
        <v>ARGIA</v>
      </c>
      <c r="G39" s="401" t="e">
        <f>+'VENTAS 2019'!#REF!</f>
        <v>#REF!</v>
      </c>
      <c r="H39" s="403">
        <f>+'VENTAS 2019'!K39</f>
        <v>53.03</v>
      </c>
      <c r="I39" s="528">
        <f t="shared" si="3"/>
        <v>51107.522883295191</v>
      </c>
      <c r="J39" s="528">
        <v>43.7</v>
      </c>
      <c r="K39" s="528">
        <f t="shared" si="4"/>
        <v>963.7473672128076</v>
      </c>
      <c r="L39" s="404">
        <f>+'VENTAS 2019'!M39</f>
        <v>2233398.75</v>
      </c>
      <c r="M39" s="404">
        <f>+'VENTAS 2019'!N39</f>
        <v>42115.759947199695</v>
      </c>
      <c r="N39" s="50"/>
      <c r="O39" s="44"/>
      <c r="P39" s="47"/>
      <c r="Q39" s="239"/>
    </row>
    <row r="40" spans="1:17" x14ac:dyDescent="0.25">
      <c r="A40" s="4"/>
      <c r="B40" s="877"/>
      <c r="C40" s="516" t="str">
        <f>+'VENTAS 2019'!E40</f>
        <v xml:space="preserve">NARDI </v>
      </c>
      <c r="D40" s="402">
        <f>+'VENTAS 2019'!F40</f>
        <v>43662</v>
      </c>
      <c r="E40" s="401" t="str">
        <f>+'VENTAS 2019'!H40</f>
        <v>14ºE</v>
      </c>
      <c r="F40" s="401" t="str">
        <f>+'VENTAS 2019'!J40</f>
        <v>ARGIA</v>
      </c>
      <c r="G40" s="401" t="e">
        <f>+'VENTAS 2019'!#REF!</f>
        <v>#REF!</v>
      </c>
      <c r="H40" s="403">
        <f>+'VENTAS 2019'!K40</f>
        <v>55.49</v>
      </c>
      <c r="I40" s="528">
        <f t="shared" si="3"/>
        <v>54298.425171624716</v>
      </c>
      <c r="J40" s="528">
        <v>43.7</v>
      </c>
      <c r="K40" s="528">
        <f t="shared" si="4"/>
        <v>978.52631413992992</v>
      </c>
      <c r="L40" s="404">
        <f>+'VENTAS 2019'!M40</f>
        <v>2372841.1800000002</v>
      </c>
      <c r="M40" s="404">
        <f>+'VENTAS 2019'!N40</f>
        <v>42761.59992791494</v>
      </c>
    </row>
    <row r="41" spans="1:17" ht="15" customHeight="1" x14ac:dyDescent="0.25">
      <c r="A41" s="4"/>
      <c r="B41" s="877"/>
      <c r="C41" s="516" t="str">
        <f>+'VENTAS 2019'!E41</f>
        <v>CASTELLANI</v>
      </c>
      <c r="D41" s="402">
        <f>+'VENTAS 2019'!F41</f>
        <v>43665</v>
      </c>
      <c r="E41" s="401" t="str">
        <f>+'VENTAS 2019'!H41</f>
        <v>6º D</v>
      </c>
      <c r="F41" s="401" t="str">
        <f>+'VENTAS 2019'!J41</f>
        <v>BLUE</v>
      </c>
      <c r="G41" s="401" t="e">
        <f>+'VENTAS 2019'!#REF!</f>
        <v>#REF!</v>
      </c>
      <c r="H41" s="403">
        <f>+'VENTAS 2019'!K41</f>
        <v>47.77</v>
      </c>
      <c r="I41" s="528">
        <f t="shared" si="3"/>
        <v>49151.55092592592</v>
      </c>
      <c r="J41" s="528">
        <v>43.2</v>
      </c>
      <c r="K41" s="528">
        <f t="shared" si="4"/>
        <v>1028.9208902224391</v>
      </c>
      <c r="L41" s="404">
        <f>+'VENTAS 2019'!M41</f>
        <v>2123347</v>
      </c>
      <c r="M41" s="404">
        <f>+'VENTAS 2019'!N41</f>
        <v>44449.382457609376</v>
      </c>
      <c r="N41" s="50"/>
      <c r="O41" s="44"/>
      <c r="P41" s="47"/>
      <c r="Q41" s="239"/>
    </row>
    <row r="42" spans="1:17" ht="15.75" thickBot="1" x14ac:dyDescent="0.3">
      <c r="A42" s="4"/>
      <c r="B42" s="935"/>
      <c r="C42" s="516" t="str">
        <f>+'VENTAS 2019'!E42</f>
        <v>CARRIZO DEGLEE</v>
      </c>
      <c r="D42" s="402">
        <f>+'VENTAS 2019'!F42</f>
        <v>43669</v>
      </c>
      <c r="E42" s="401" t="str">
        <f>+'VENTAS 2019'!H42</f>
        <v>4º D</v>
      </c>
      <c r="F42" s="401" t="str">
        <f>+'VENTAS 2019'!J42</f>
        <v>ZOE</v>
      </c>
      <c r="G42" s="401" t="e">
        <f>+'VENTAS 2019'!#REF!</f>
        <v>#REF!</v>
      </c>
      <c r="H42" s="403">
        <f>+'VENTAS 2019'!K42</f>
        <v>40.86</v>
      </c>
      <c r="I42" s="528">
        <f t="shared" si="3"/>
        <v>42217.948164146874</v>
      </c>
      <c r="J42" s="528">
        <v>46.3</v>
      </c>
      <c r="K42" s="528">
        <f t="shared" si="4"/>
        <v>1033.234169460276</v>
      </c>
      <c r="L42" s="404">
        <f>+'VENTAS 2019'!M42</f>
        <v>1954691</v>
      </c>
      <c r="M42" s="404">
        <f>+'VENTAS 2019'!N42</f>
        <v>47838.742046010768</v>
      </c>
      <c r="N42" s="49" t="s">
        <v>45</v>
      </c>
      <c r="O42" s="51">
        <f>SUM(L35:L42)</f>
        <v>16898977.109999999</v>
      </c>
      <c r="P42" s="48">
        <v>5020</v>
      </c>
      <c r="Q42" s="52">
        <f>+O42/P42</f>
        <v>3366.3301015936254</v>
      </c>
    </row>
    <row r="43" spans="1:17" ht="39" customHeight="1" x14ac:dyDescent="0.25">
      <c r="A43" s="4"/>
      <c r="B43" s="936" t="s">
        <v>30</v>
      </c>
      <c r="C43" s="515" t="str">
        <f>+'VENTAS 2019'!E43</f>
        <v>MULER</v>
      </c>
      <c r="D43" s="395">
        <f>+'VENTAS 2019'!F43</f>
        <v>43678</v>
      </c>
      <c r="E43" s="394" t="str">
        <f>+'VENTAS 2019'!H43</f>
        <v>2º D</v>
      </c>
      <c r="F43" s="394" t="str">
        <f>+'VENTAS 2019'!J43</f>
        <v>ZOE</v>
      </c>
      <c r="G43" s="394" t="e">
        <f>+'VENTAS 2019'!#REF!</f>
        <v>#REF!</v>
      </c>
      <c r="H43" s="397">
        <f>+'VENTAS 2019'!K43</f>
        <v>40.86</v>
      </c>
      <c r="I43" s="527">
        <f t="shared" si="3"/>
        <v>34000</v>
      </c>
      <c r="J43" s="527">
        <v>46</v>
      </c>
      <c r="K43" s="527">
        <f t="shared" si="4"/>
        <v>832.10964268232988</v>
      </c>
      <c r="L43" s="398">
        <f>+'VENTAS 2019'!M43</f>
        <v>1564000</v>
      </c>
      <c r="M43" s="398">
        <f>+'VENTAS 2019'!N43</f>
        <v>38277.043563387175</v>
      </c>
      <c r="N43" s="273"/>
      <c r="P43" s="47"/>
      <c r="Q43" s="239"/>
    </row>
    <row r="44" spans="1:17" x14ac:dyDescent="0.25">
      <c r="A44" s="4"/>
      <c r="B44" s="937"/>
      <c r="C44" s="515" t="str">
        <f>+'VENTAS 2019'!E44</f>
        <v>MULER</v>
      </c>
      <c r="D44" s="395">
        <f>+'VENTAS 2019'!F44</f>
        <v>43678</v>
      </c>
      <c r="E44" s="394" t="str">
        <f>+'VENTAS 2019'!H44</f>
        <v>2º B</v>
      </c>
      <c r="F44" s="394" t="str">
        <f>+'VENTAS 2019'!J44</f>
        <v>ZOE</v>
      </c>
      <c r="G44" s="394" t="e">
        <f>+'VENTAS 2019'!#REF!</f>
        <v>#REF!</v>
      </c>
      <c r="H44" s="397">
        <f>+'VENTAS 2019'!K44</f>
        <v>40.44</v>
      </c>
      <c r="I44" s="527">
        <f t="shared" si="3"/>
        <v>34000</v>
      </c>
      <c r="J44" s="527">
        <v>46</v>
      </c>
      <c r="K44" s="527">
        <f t="shared" si="4"/>
        <v>840.75173095944615</v>
      </c>
      <c r="L44" s="398">
        <f>+'VENTAS 2019'!M44</f>
        <v>1564000</v>
      </c>
      <c r="M44" s="398">
        <f>+'VENTAS 2019'!N44</f>
        <v>38674.579624134523</v>
      </c>
      <c r="N44" s="273"/>
      <c r="P44" s="47"/>
      <c r="Q44" s="239"/>
    </row>
    <row r="45" spans="1:17" x14ac:dyDescent="0.25">
      <c r="A45" s="4"/>
      <c r="B45" s="937"/>
      <c r="C45" s="515" t="str">
        <f>+'VENTAS 2019'!E45</f>
        <v>MULER</v>
      </c>
      <c r="D45" s="395">
        <f>+'VENTAS 2019'!F45</f>
        <v>43678</v>
      </c>
      <c r="E45" s="394" t="str">
        <f>+'VENTAS 2019'!H45</f>
        <v>3º B</v>
      </c>
      <c r="F45" s="394" t="str">
        <f>+'VENTAS 2019'!J45</f>
        <v>ZOE</v>
      </c>
      <c r="G45" s="394" t="e">
        <f>+'VENTAS 2019'!#REF!</f>
        <v>#REF!</v>
      </c>
      <c r="H45" s="397">
        <f>+'VENTAS 2019'!K45</f>
        <v>40.44</v>
      </c>
      <c r="I45" s="527">
        <f t="shared" si="3"/>
        <v>34000</v>
      </c>
      <c r="J45" s="527">
        <v>46</v>
      </c>
      <c r="K45" s="527">
        <f t="shared" si="4"/>
        <v>840.75173095944615</v>
      </c>
      <c r="L45" s="398">
        <f>+'VENTAS 2019'!M45</f>
        <v>1564000</v>
      </c>
      <c r="M45" s="398">
        <f>+'VENTAS 2019'!N45</f>
        <v>38674.579624134523</v>
      </c>
      <c r="N45" s="273"/>
      <c r="P45" s="47"/>
      <c r="Q45" s="239"/>
    </row>
    <row r="46" spans="1:17" x14ac:dyDescent="0.25">
      <c r="A46" s="4"/>
      <c r="B46" s="937"/>
      <c r="C46" s="515" t="str">
        <f>+'VENTAS 2019'!E46</f>
        <v>OSATINSKY</v>
      </c>
      <c r="D46" s="395">
        <f>+'VENTAS 2019'!F46</f>
        <v>43690</v>
      </c>
      <c r="E46" s="394" t="str">
        <f>+'VENTAS 2019'!H46</f>
        <v>1º A</v>
      </c>
      <c r="F46" s="394" t="str">
        <f>+'VENTAS 2019'!J46</f>
        <v>BLUE</v>
      </c>
      <c r="G46" s="394" t="e">
        <f>+'VENTAS 2019'!#REF!</f>
        <v>#REF!</v>
      </c>
      <c r="H46" s="397">
        <f>+'VENTAS 2019'!K46</f>
        <v>56.54</v>
      </c>
      <c r="I46" s="527">
        <f t="shared" si="3"/>
        <v>42727.272727272728</v>
      </c>
      <c r="J46" s="527">
        <v>55</v>
      </c>
      <c r="K46" s="527">
        <f t="shared" si="4"/>
        <v>755.6999067434158</v>
      </c>
      <c r="L46" s="398">
        <f>+'VENTAS 2019'!M46</f>
        <v>2350000</v>
      </c>
      <c r="M46" s="398">
        <f>+'VENTAS 2019'!N46</f>
        <v>41563.494870887866</v>
      </c>
      <c r="N46" s="273"/>
      <c r="P46" s="47"/>
      <c r="Q46" s="239"/>
    </row>
    <row r="47" spans="1:17" x14ac:dyDescent="0.25">
      <c r="A47" s="4"/>
      <c r="B47" s="937"/>
      <c r="C47" s="515" t="str">
        <f>+'VENTAS 2019'!E47</f>
        <v>YUBRIN</v>
      </c>
      <c r="D47" s="395">
        <f>+'VENTAS 2019'!F47</f>
        <v>43697</v>
      </c>
      <c r="E47" s="394" t="str">
        <f>+'VENTAS 2019'!H47</f>
        <v>1ºE</v>
      </c>
      <c r="F47" s="394" t="str">
        <f>+'VENTAS 2019'!J47</f>
        <v>ZOE</v>
      </c>
      <c r="G47" s="394" t="e">
        <f>+'VENTAS 2019'!#REF!</f>
        <v>#REF!</v>
      </c>
      <c r="H47" s="397">
        <f>+'VENTAS 2019'!K47</f>
        <v>46.62</v>
      </c>
      <c r="I47" s="527">
        <f t="shared" si="3"/>
        <v>37296</v>
      </c>
      <c r="J47" s="527">
        <v>45</v>
      </c>
      <c r="K47" s="527">
        <f t="shared" si="4"/>
        <v>800</v>
      </c>
      <c r="L47" s="398">
        <f>+'VENTAS 2019'!M47</f>
        <v>1678320</v>
      </c>
      <c r="M47" s="398">
        <f>+'VENTAS 2019'!N47</f>
        <v>36000</v>
      </c>
      <c r="N47" s="273"/>
      <c r="P47" s="47"/>
      <c r="Q47" s="239"/>
    </row>
    <row r="48" spans="1:17" x14ac:dyDescent="0.25">
      <c r="A48" s="4"/>
      <c r="B48" s="937"/>
      <c r="C48" s="515" t="str">
        <f>+'VENTAS 2019'!E48</f>
        <v>YUBRIN</v>
      </c>
      <c r="D48" s="395">
        <f>+'VENTAS 2019'!F48</f>
        <v>43697</v>
      </c>
      <c r="E48" s="394" t="str">
        <f>+'VENTAS 2019'!H48</f>
        <v>2ºE</v>
      </c>
      <c r="F48" s="394" t="str">
        <f>+'VENTAS 2019'!J48</f>
        <v>ZOE</v>
      </c>
      <c r="G48" s="394" t="e">
        <f>+'VENTAS 2019'!#REF!</f>
        <v>#REF!</v>
      </c>
      <c r="H48" s="397">
        <f>+'VENTAS 2019'!K48</f>
        <v>46.62</v>
      </c>
      <c r="I48" s="527">
        <f t="shared" si="3"/>
        <v>37296</v>
      </c>
      <c r="J48" s="527">
        <v>45</v>
      </c>
      <c r="K48" s="527">
        <f t="shared" si="4"/>
        <v>800</v>
      </c>
      <c r="L48" s="398">
        <f>+'VENTAS 2019'!M48</f>
        <v>1678320</v>
      </c>
      <c r="M48" s="398">
        <f>+'VENTAS 2019'!N48</f>
        <v>36000</v>
      </c>
      <c r="N48" s="273"/>
      <c r="P48" s="47"/>
      <c r="Q48" s="239"/>
    </row>
    <row r="49" spans="1:17" x14ac:dyDescent="0.25">
      <c r="A49" s="4"/>
      <c r="B49" s="937"/>
      <c r="C49" s="515" t="str">
        <f>+'VENTAS 2019'!E49</f>
        <v>YUBRIN</v>
      </c>
      <c r="D49" s="395">
        <f>+'VENTAS 2019'!F49</f>
        <v>43697</v>
      </c>
      <c r="E49" s="394" t="str">
        <f>+'VENTAS 2019'!H49</f>
        <v>2ºA</v>
      </c>
      <c r="F49" s="394" t="str">
        <f>+'VENTAS 2019'!J49</f>
        <v>ZOE</v>
      </c>
      <c r="G49" s="394" t="e">
        <f>+'VENTAS 2019'!#REF!</f>
        <v>#REF!</v>
      </c>
      <c r="H49" s="397">
        <f>+'VENTAS 2019'!K49</f>
        <v>47.67</v>
      </c>
      <c r="I49" s="527">
        <f t="shared" si="3"/>
        <v>38136</v>
      </c>
      <c r="J49" s="527">
        <v>45</v>
      </c>
      <c r="K49" s="527">
        <f t="shared" si="4"/>
        <v>800</v>
      </c>
      <c r="L49" s="398">
        <f>+'VENTAS 2019'!M49</f>
        <v>1716120</v>
      </c>
      <c r="M49" s="398">
        <f>+'VENTAS 2019'!N49</f>
        <v>36000</v>
      </c>
      <c r="N49" s="273"/>
      <c r="P49" s="47"/>
      <c r="Q49" s="239"/>
    </row>
    <row r="50" spans="1:17" x14ac:dyDescent="0.25">
      <c r="A50" s="4"/>
      <c r="B50" s="937"/>
      <c r="C50" s="515" t="str">
        <f>+'VENTAS 2019'!E50</f>
        <v>YUBRIN</v>
      </c>
      <c r="D50" s="395">
        <f>+'VENTAS 2019'!F50</f>
        <v>43697</v>
      </c>
      <c r="E50" s="394" t="str">
        <f>+'VENTAS 2019'!H50</f>
        <v>3ºA</v>
      </c>
      <c r="F50" s="394" t="str">
        <f>+'VENTAS 2019'!J50</f>
        <v>ZOE</v>
      </c>
      <c r="G50" s="394" t="e">
        <f>+'VENTAS 2019'!#REF!</f>
        <v>#REF!</v>
      </c>
      <c r="H50" s="397">
        <f>+'VENTAS 2019'!K50</f>
        <v>47.67</v>
      </c>
      <c r="I50" s="527">
        <f t="shared" si="3"/>
        <v>38136</v>
      </c>
      <c r="J50" s="527">
        <v>45</v>
      </c>
      <c r="K50" s="527">
        <f t="shared" si="4"/>
        <v>800</v>
      </c>
      <c r="L50" s="398">
        <f>+'VENTAS 2019'!M50</f>
        <v>1716120</v>
      </c>
      <c r="M50" s="398">
        <f>+'VENTAS 2019'!N50</f>
        <v>36000</v>
      </c>
      <c r="N50" s="273"/>
      <c r="P50" s="47"/>
      <c r="Q50" s="239"/>
    </row>
    <row r="51" spans="1:17" x14ac:dyDescent="0.25">
      <c r="A51" s="4"/>
      <c r="B51" s="937"/>
      <c r="C51" s="515" t="str">
        <f>+'VENTAS 2019'!E51</f>
        <v>OÑATE</v>
      </c>
      <c r="D51" s="395">
        <f>+'VENTAS 2019'!F51</f>
        <v>43697</v>
      </c>
      <c r="E51" s="394" t="str">
        <f>+'VENTAS 2019'!H51</f>
        <v>5ºD</v>
      </c>
      <c r="F51" s="394" t="str">
        <f>+'VENTAS 2019'!J51</f>
        <v>BLUE</v>
      </c>
      <c r="G51" s="394" t="e">
        <f>+'VENTAS 2019'!#REF!</f>
        <v>#REF!</v>
      </c>
      <c r="H51" s="397">
        <f>+'VENTAS 2019'!K51</f>
        <v>47.77</v>
      </c>
      <c r="I51" s="527">
        <f t="shared" si="3"/>
        <v>54276</v>
      </c>
      <c r="J51" s="527">
        <v>55</v>
      </c>
      <c r="K51" s="527">
        <f t="shared" si="4"/>
        <v>1136.1942641825412</v>
      </c>
      <c r="L51" s="398">
        <f>+'VENTAS 2019'!M51</f>
        <v>2985180</v>
      </c>
      <c r="M51" s="398">
        <f>+'VENTAS 2019'!N51</f>
        <v>62490.684530039769</v>
      </c>
      <c r="N51" s="273"/>
      <c r="P51" s="47"/>
      <c r="Q51" s="239"/>
    </row>
    <row r="52" spans="1:17" x14ac:dyDescent="0.25">
      <c r="A52" s="4"/>
      <c r="B52" s="937"/>
      <c r="C52" s="515" t="str">
        <f>+'VENTAS 2019'!E52</f>
        <v xml:space="preserve">GUTIERREZ </v>
      </c>
      <c r="D52" s="395">
        <f>+'VENTAS 2019'!F52</f>
        <v>43698</v>
      </c>
      <c r="E52" s="394" t="str">
        <f>+'VENTAS 2019'!H52</f>
        <v>5ºB</v>
      </c>
      <c r="F52" s="394" t="str">
        <f>+'VENTAS 2019'!J52</f>
        <v>BLUE</v>
      </c>
      <c r="G52" s="394" t="e">
        <f>+'VENTAS 2019'!#REF!</f>
        <v>#REF!</v>
      </c>
      <c r="H52" s="397">
        <f>+'VENTAS 2019'!K52</f>
        <v>44.35</v>
      </c>
      <c r="I52" s="527">
        <f t="shared" si="3"/>
        <v>37563.345132743365</v>
      </c>
      <c r="J52" s="527">
        <v>56.5</v>
      </c>
      <c r="K52" s="527">
        <f t="shared" si="4"/>
        <v>846.9750875477647</v>
      </c>
      <c r="L52" s="398">
        <f>+'VENTAS 2019'!M52</f>
        <v>2122329</v>
      </c>
      <c r="M52" s="398">
        <f>+'VENTAS 2019'!N52</f>
        <v>47854.092446448703</v>
      </c>
      <c r="N52" s="273"/>
      <c r="P52" s="47"/>
      <c r="Q52" s="239"/>
    </row>
    <row r="53" spans="1:17" x14ac:dyDescent="0.25">
      <c r="A53" s="4"/>
      <c r="B53" s="937"/>
      <c r="C53" s="515" t="str">
        <f>+'VENTAS 2019'!E53</f>
        <v xml:space="preserve">GUTIERREZ </v>
      </c>
      <c r="D53" s="395">
        <f>+'VENTAS 2019'!F53</f>
        <v>43698</v>
      </c>
      <c r="E53" s="394" t="str">
        <f>+'VENTAS 2019'!H53</f>
        <v>7ºD</v>
      </c>
      <c r="F53" s="394" t="str">
        <f>+'VENTAS 2019'!J53</f>
        <v>BLUE</v>
      </c>
      <c r="G53" s="394" t="e">
        <f>+'VENTAS 2019'!#REF!</f>
        <v>#REF!</v>
      </c>
      <c r="H53" s="397">
        <f>+'VENTAS 2019'!K53</f>
        <v>47.77</v>
      </c>
      <c r="I53" s="527">
        <f t="shared" si="3"/>
        <v>39284.743362831861</v>
      </c>
      <c r="J53" s="527">
        <v>56.5</v>
      </c>
      <c r="K53" s="527">
        <f t="shared" si="4"/>
        <v>822.37268919472172</v>
      </c>
      <c r="L53" s="398">
        <f>+'VENTAS 2019'!M53</f>
        <v>2219588</v>
      </c>
      <c r="M53" s="398">
        <f>+'VENTAS 2019'!N53</f>
        <v>46464.056939501774</v>
      </c>
      <c r="N53" s="273"/>
      <c r="P53" s="47"/>
      <c r="Q53" s="239"/>
    </row>
    <row r="54" spans="1:17" x14ac:dyDescent="0.25">
      <c r="A54" s="4"/>
      <c r="B54" s="937"/>
      <c r="C54" s="515" t="str">
        <f>+'VENTAS 2019'!E54</f>
        <v>FALU/MINA</v>
      </c>
      <c r="D54" s="395">
        <f>+'VENTAS 2019'!F54</f>
        <v>43705</v>
      </c>
      <c r="E54" s="394" t="str">
        <f>+'VENTAS 2019'!H54</f>
        <v>15ºG</v>
      </c>
      <c r="F54" s="394" t="str">
        <f>+'VENTAS 2019'!J54</f>
        <v>ZOE</v>
      </c>
      <c r="G54" s="394" t="e">
        <f>+'VENTAS 2019'!#REF!</f>
        <v>#REF!</v>
      </c>
      <c r="H54" s="397">
        <f>+'VENTAS 2019'!K54</f>
        <v>35.700000000000003</v>
      </c>
      <c r="I54" s="527">
        <f t="shared" si="3"/>
        <v>26508.196721311477</v>
      </c>
      <c r="J54" s="527">
        <v>61</v>
      </c>
      <c r="K54" s="527">
        <f t="shared" si="4"/>
        <v>742.52651880424298</v>
      </c>
      <c r="L54" s="398">
        <f>+'VENTAS 2019'!M54</f>
        <v>1617000</v>
      </c>
      <c r="M54" s="398">
        <f>+'VENTAS 2019'!N54</f>
        <v>45294.117647058818</v>
      </c>
      <c r="N54" s="273"/>
      <c r="P54" s="47"/>
      <c r="Q54" s="239"/>
    </row>
    <row r="55" spans="1:17" x14ac:dyDescent="0.25">
      <c r="A55" s="4"/>
      <c r="B55" s="937"/>
      <c r="C55" s="515" t="str">
        <f>+'VENTAS 2019'!E55</f>
        <v>FALU/MINA</v>
      </c>
      <c r="D55" s="395">
        <f>+'VENTAS 2019'!F55</f>
        <v>43705</v>
      </c>
      <c r="E55" s="394" t="str">
        <f>+'VENTAS 2019'!H55</f>
        <v>16ºG</v>
      </c>
      <c r="F55" s="394" t="str">
        <f>+'VENTAS 2019'!J55</f>
        <v>ZOE</v>
      </c>
      <c r="G55" s="394" t="e">
        <f>+'VENTAS 2019'!#REF!</f>
        <v>#REF!</v>
      </c>
      <c r="H55" s="397">
        <f>+'VENTAS 2019'!K55</f>
        <v>35.700000000000003</v>
      </c>
      <c r="I55" s="527">
        <f t="shared" si="3"/>
        <v>26508.196721311477</v>
      </c>
      <c r="J55" s="527">
        <v>61</v>
      </c>
      <c r="K55" s="527">
        <f t="shared" si="4"/>
        <v>742.52651880424298</v>
      </c>
      <c r="L55" s="398">
        <f>+'VENTAS 2019'!M55</f>
        <v>1617000</v>
      </c>
      <c r="M55" s="398">
        <f>+'VENTAS 2019'!N55</f>
        <v>45294.117647058818</v>
      </c>
      <c r="N55" s="273"/>
      <c r="P55" s="47"/>
      <c r="Q55" s="239"/>
    </row>
    <row r="56" spans="1:17" x14ac:dyDescent="0.25">
      <c r="A56" s="4"/>
      <c r="B56" s="937"/>
      <c r="C56" s="515" t="str">
        <f>+'VENTAS 2019'!E56</f>
        <v>FALU/MINA</v>
      </c>
      <c r="D56" s="395">
        <f>+'VENTAS 2019'!F56</f>
        <v>43705</v>
      </c>
      <c r="E56" s="394" t="str">
        <f>+'VENTAS 2019'!H56</f>
        <v>17ºF</v>
      </c>
      <c r="F56" s="394" t="str">
        <f>+'VENTAS 2019'!J56</f>
        <v>ZOE</v>
      </c>
      <c r="G56" s="394" t="e">
        <f>+'VENTAS 2019'!#REF!</f>
        <v>#REF!</v>
      </c>
      <c r="H56" s="397">
        <f>+'VENTAS 2019'!K56</f>
        <v>35.700000000000003</v>
      </c>
      <c r="I56" s="527">
        <f t="shared" si="3"/>
        <v>26508.196721311477</v>
      </c>
      <c r="J56" s="527">
        <v>61</v>
      </c>
      <c r="K56" s="527">
        <f t="shared" si="4"/>
        <v>742.52651880424298</v>
      </c>
      <c r="L56" s="398">
        <f>+'VENTAS 2019'!M56</f>
        <v>1617000</v>
      </c>
      <c r="M56" s="398">
        <f>+'VENTAS 2019'!N56</f>
        <v>45294.117647058818</v>
      </c>
    </row>
    <row r="57" spans="1:17" ht="15" customHeight="1" x14ac:dyDescent="0.25">
      <c r="A57" s="4"/>
      <c r="B57" s="937"/>
      <c r="C57" s="515" t="str">
        <f>+'VENTAS 2019'!E57</f>
        <v xml:space="preserve">RIVAS </v>
      </c>
      <c r="D57" s="395">
        <f>+'VENTAS 2019'!F57</f>
        <v>43707</v>
      </c>
      <c r="E57" s="394" t="str">
        <f>+'VENTAS 2019'!H57</f>
        <v xml:space="preserve">9ºE </v>
      </c>
      <c r="F57" s="394" t="str">
        <f>+'VENTAS 2019'!J57</f>
        <v>ZOE</v>
      </c>
      <c r="G57" s="394" t="e">
        <f>+'VENTAS 2019'!#REF!</f>
        <v>#REF!</v>
      </c>
      <c r="H57" s="397">
        <f>+'VENTAS 2019'!K57</f>
        <v>46.62</v>
      </c>
      <c r="I57" s="527">
        <f t="shared" si="3"/>
        <v>34504.065040650406</v>
      </c>
      <c r="J57" s="527">
        <v>61.5</v>
      </c>
      <c r="K57" s="527">
        <f t="shared" si="4"/>
        <v>740.11293523488655</v>
      </c>
      <c r="L57" s="398">
        <f>+'VENTAS 2019'!M57</f>
        <v>2122000</v>
      </c>
      <c r="M57" s="398">
        <f>+'VENTAS 2019'!N57</f>
        <v>45516.945516945518</v>
      </c>
      <c r="N57" s="50"/>
      <c r="O57" s="44"/>
      <c r="P57" s="47"/>
      <c r="Q57" s="239"/>
    </row>
    <row r="58" spans="1:17" ht="15.75" thickBot="1" x14ac:dyDescent="0.3">
      <c r="A58" s="4"/>
      <c r="B58" s="938"/>
      <c r="C58" s="515" t="str">
        <f>+'VENTAS 2019'!E58</f>
        <v xml:space="preserve">RIVAS </v>
      </c>
      <c r="D58" s="395">
        <f>+'VENTAS 2019'!F58</f>
        <v>43707</v>
      </c>
      <c r="E58" s="394" t="str">
        <f>+'VENTAS 2019'!H58</f>
        <v>COCH 9</v>
      </c>
      <c r="F58" s="394" t="str">
        <f>+'VENTAS 2019'!J58</f>
        <v>ZOE</v>
      </c>
      <c r="G58" s="394" t="e">
        <f>+'VENTAS 2019'!#REF!</f>
        <v>#REF!</v>
      </c>
      <c r="H58" s="397">
        <f>+'VENTAS 2019'!K58</f>
        <v>47.77</v>
      </c>
      <c r="I58" s="527"/>
      <c r="J58" s="527"/>
      <c r="K58" s="527"/>
      <c r="L58" s="398">
        <f>+'VENTAS 2019'!M58</f>
        <v>651228</v>
      </c>
      <c r="M58" s="398">
        <f>+'VENTAS 2019'!N58</f>
        <v>0</v>
      </c>
      <c r="N58" s="9" t="s">
        <v>30</v>
      </c>
      <c r="O58" s="48">
        <f>SUM(L43:L58)</f>
        <v>28782205</v>
      </c>
      <c r="P58" s="48">
        <v>5180</v>
      </c>
      <c r="Q58" s="52">
        <f>+O58/P58</f>
        <v>5556.4102316602321</v>
      </c>
    </row>
    <row r="59" spans="1:17" ht="54.75" customHeight="1" x14ac:dyDescent="0.25">
      <c r="A59" s="4"/>
      <c r="B59" s="876" t="s">
        <v>31</v>
      </c>
      <c r="C59" s="516" t="str">
        <f>+'VENTAS 2019'!E59</f>
        <v xml:space="preserve">JULIAN </v>
      </c>
      <c r="D59" s="402">
        <f>+'VENTAS 2019'!F59</f>
        <v>43713</v>
      </c>
      <c r="E59" s="401" t="str">
        <f>+'VENTAS 2019'!H59</f>
        <v>3ºD</v>
      </c>
      <c r="F59" s="401" t="str">
        <f>+'VENTAS 2019'!J59</f>
        <v>BLUE</v>
      </c>
      <c r="G59" s="401" t="e">
        <f>+'VENTAS 2019'!#REF!</f>
        <v>#REF!</v>
      </c>
      <c r="H59" s="403">
        <f>+'VENTAS 2019'!K59</f>
        <v>47.77</v>
      </c>
      <c r="I59" s="528">
        <f t="shared" si="3"/>
        <v>46294.778761061949</v>
      </c>
      <c r="J59" s="528">
        <v>56.5</v>
      </c>
      <c r="K59" s="528">
        <f t="shared" si="4"/>
        <v>969.11824913255066</v>
      </c>
      <c r="L59" s="404">
        <f>+'VENTAS 2019'!M59</f>
        <v>2615655</v>
      </c>
      <c r="M59" s="404">
        <f>+'VENTAS 2019'!N59</f>
        <v>54755.181075989109</v>
      </c>
      <c r="N59" s="50"/>
      <c r="O59" s="44"/>
      <c r="P59" s="47"/>
      <c r="Q59" s="239"/>
    </row>
    <row r="60" spans="1:17" x14ac:dyDescent="0.25">
      <c r="A60" s="4"/>
      <c r="B60" s="877"/>
      <c r="C60" s="516" t="str">
        <f>+'VENTAS 2019'!E60</f>
        <v xml:space="preserve">FORMOSO </v>
      </c>
      <c r="D60" s="402">
        <f>+'VENTAS 2019'!F60</f>
        <v>43714</v>
      </c>
      <c r="E60" s="401" t="str">
        <f>+'VENTAS 2019'!H60</f>
        <v>8ºD</v>
      </c>
      <c r="F60" s="401" t="str">
        <f>+'VENTAS 2019'!J60</f>
        <v>BLUE</v>
      </c>
      <c r="G60" s="401" t="e">
        <f>+'VENTAS 2019'!#REF!</f>
        <v>#REF!</v>
      </c>
      <c r="H60" s="403">
        <f>+'VENTAS 2019'!K60</f>
        <v>47.77</v>
      </c>
      <c r="I60" s="528">
        <f t="shared" si="3"/>
        <v>39679.561403508771</v>
      </c>
      <c r="J60" s="528">
        <v>57</v>
      </c>
      <c r="K60" s="528">
        <f t="shared" si="4"/>
        <v>830.63766806591514</v>
      </c>
      <c r="L60" s="404">
        <f>+'VENTAS 2019'!M60</f>
        <v>2261735</v>
      </c>
      <c r="M60" s="404">
        <f>+'VENTAS 2019'!N60</f>
        <v>47346.347079757164</v>
      </c>
      <c r="N60" s="50"/>
      <c r="O60" s="44"/>
      <c r="P60" s="47"/>
      <c r="Q60" s="239"/>
    </row>
    <row r="61" spans="1:17" x14ac:dyDescent="0.25">
      <c r="A61" s="4"/>
      <c r="B61" s="877"/>
      <c r="C61" s="516" t="str">
        <f>+'VENTAS 2019'!E61</f>
        <v xml:space="preserve">FORMOSO </v>
      </c>
      <c r="D61" s="402">
        <f>+'VENTAS 2019'!F61</f>
        <v>43714</v>
      </c>
      <c r="E61" s="401" t="str">
        <f>+'VENTAS 2019'!H61</f>
        <v>9ºD</v>
      </c>
      <c r="F61" s="401" t="str">
        <f>+'VENTAS 2019'!J61</f>
        <v>BLUE</v>
      </c>
      <c r="G61" s="401" t="e">
        <f>+'VENTAS 2019'!#REF!</f>
        <v>#REF!</v>
      </c>
      <c r="H61" s="403">
        <f>+'VENTAS 2019'!K61</f>
        <v>47.77</v>
      </c>
      <c r="I61" s="528">
        <f t="shared" si="3"/>
        <v>39679.561403508771</v>
      </c>
      <c r="J61" s="528">
        <v>57</v>
      </c>
      <c r="K61" s="528">
        <f t="shared" si="4"/>
        <v>830.63766806591514</v>
      </c>
      <c r="L61" s="404">
        <f>+'VENTAS 2019'!M61</f>
        <v>2261735</v>
      </c>
      <c r="M61" s="404">
        <f>+'VENTAS 2019'!N61</f>
        <v>47346.347079757164</v>
      </c>
      <c r="N61" s="50"/>
      <c r="O61" s="44"/>
      <c r="P61" s="47"/>
      <c r="Q61" s="239"/>
    </row>
    <row r="62" spans="1:17" x14ac:dyDescent="0.25">
      <c r="A62" s="4"/>
      <c r="B62" s="877"/>
      <c r="C62" s="516" t="str">
        <f>+'VENTAS 2019'!E62</f>
        <v xml:space="preserve">FORMOSO </v>
      </c>
      <c r="D62" s="402">
        <f>+'VENTAS 2019'!F62</f>
        <v>43714</v>
      </c>
      <c r="E62" s="401" t="str">
        <f>+'VENTAS 2019'!H62</f>
        <v>10ºD</v>
      </c>
      <c r="F62" s="401" t="str">
        <f>+'VENTAS 2019'!J62</f>
        <v>BLUE</v>
      </c>
      <c r="G62" s="401" t="e">
        <f>+'VENTAS 2019'!#REF!</f>
        <v>#REF!</v>
      </c>
      <c r="H62" s="403">
        <f>+'VENTAS 2019'!K62</f>
        <v>47.77</v>
      </c>
      <c r="I62" s="528">
        <f t="shared" si="3"/>
        <v>39679.561403508771</v>
      </c>
      <c r="J62" s="528">
        <v>57</v>
      </c>
      <c r="K62" s="528">
        <f t="shared" si="4"/>
        <v>830.63766806591514</v>
      </c>
      <c r="L62" s="404">
        <f>+'VENTAS 2019'!M62</f>
        <v>2261735</v>
      </c>
      <c r="M62" s="404">
        <f>+'VENTAS 2019'!N62</f>
        <v>47346.347079757164</v>
      </c>
      <c r="N62" s="50"/>
      <c r="O62" s="44"/>
      <c r="P62" s="47"/>
      <c r="Q62" s="239"/>
    </row>
    <row r="63" spans="1:17" x14ac:dyDescent="0.25">
      <c r="A63" s="4"/>
      <c r="B63" s="877"/>
      <c r="C63" s="516" t="str">
        <f>+'VENTAS 2019'!E63</f>
        <v>LIX KLETT FEDERICO</v>
      </c>
      <c r="D63" s="402">
        <f>+'VENTAS 2019'!F63</f>
        <v>43719</v>
      </c>
      <c r="E63" s="401" t="str">
        <f>+'VENTAS 2019'!H63</f>
        <v>10ºA</v>
      </c>
      <c r="F63" s="401" t="str">
        <f>+'VENTAS 2019'!J63</f>
        <v>ZOE</v>
      </c>
      <c r="G63" s="401" t="e">
        <f>+'VENTAS 2019'!#REF!</f>
        <v>#REF!</v>
      </c>
      <c r="H63" s="403">
        <f>+'VENTAS 2019'!K63</f>
        <v>47.67</v>
      </c>
      <c r="I63" s="528">
        <f t="shared" si="3"/>
        <v>37887.865087719299</v>
      </c>
      <c r="J63" s="528">
        <v>57</v>
      </c>
      <c r="K63" s="528">
        <f t="shared" si="4"/>
        <v>794.79473647407804</v>
      </c>
      <c r="L63" s="404">
        <f>+'VENTAS 2019'!M63</f>
        <v>2159608.31</v>
      </c>
      <c r="M63" s="404">
        <f>+'VENTAS 2019'!N63</f>
        <v>45303.299979022442</v>
      </c>
      <c r="N63" s="50"/>
      <c r="O63" s="44"/>
      <c r="P63" s="47"/>
      <c r="Q63" s="239"/>
    </row>
    <row r="64" spans="1:17" x14ac:dyDescent="0.25">
      <c r="A64" s="4"/>
      <c r="B64" s="877"/>
      <c r="C64" s="516" t="str">
        <f>+'VENTAS 2019'!E64</f>
        <v xml:space="preserve">HOLGADO </v>
      </c>
      <c r="D64" s="402">
        <f>+'VENTAS 2019'!F64</f>
        <v>43721</v>
      </c>
      <c r="E64" s="401" t="str">
        <f>+'VENTAS 2019'!H64</f>
        <v>6ºH</v>
      </c>
      <c r="F64" s="401" t="str">
        <f>+'VENTAS 2019'!J64</f>
        <v>ZOE</v>
      </c>
      <c r="G64" s="401" t="e">
        <f>+'VENTAS 2019'!#REF!</f>
        <v>#REF!</v>
      </c>
      <c r="H64" s="403">
        <f>+'VENTAS 2019'!K64</f>
        <v>74.5</v>
      </c>
      <c r="I64" s="528">
        <f t="shared" si="3"/>
        <v>66750.3119266055</v>
      </c>
      <c r="J64" s="528">
        <v>54.5</v>
      </c>
      <c r="K64" s="528">
        <f t="shared" si="4"/>
        <v>895.97734129671812</v>
      </c>
      <c r="L64" s="404">
        <f>+'VENTAS 2019'!M64</f>
        <v>3637892</v>
      </c>
      <c r="M64" s="404">
        <f>+'VENTAS 2019'!N64</f>
        <v>48830.765100671138</v>
      </c>
      <c r="N64" s="50"/>
      <c r="O64" s="44"/>
      <c r="P64" s="47"/>
      <c r="Q64" s="239"/>
    </row>
    <row r="65" spans="1:17" x14ac:dyDescent="0.25">
      <c r="A65" s="4"/>
      <c r="B65" s="877"/>
      <c r="C65" s="516" t="str">
        <f>+'VENTAS 2019'!E65</f>
        <v xml:space="preserve">HOLGADO </v>
      </c>
      <c r="D65" s="402">
        <f>+'VENTAS 2019'!F65</f>
        <v>43721</v>
      </c>
      <c r="E65" s="401" t="str">
        <f>+'VENTAS 2019'!H65</f>
        <v>6ºE</v>
      </c>
      <c r="F65" s="401" t="str">
        <f>+'VENTAS 2019'!J65</f>
        <v>ZOE</v>
      </c>
      <c r="G65" s="401" t="e">
        <f>+'VENTAS 2019'!#REF!</f>
        <v>#REF!</v>
      </c>
      <c r="H65" s="403">
        <f>+'VENTAS 2019'!K65</f>
        <v>46.62</v>
      </c>
      <c r="I65" s="528">
        <f t="shared" si="3"/>
        <v>37482.458715596331</v>
      </c>
      <c r="J65" s="528">
        <v>54.5</v>
      </c>
      <c r="K65" s="528">
        <f t="shared" si="4"/>
        <v>803.99954344908474</v>
      </c>
      <c r="L65" s="404">
        <f>+'VENTAS 2019'!M65</f>
        <v>2042794</v>
      </c>
      <c r="M65" s="404">
        <f>+'VENTAS 2019'!N65</f>
        <v>43817.975117975118</v>
      </c>
      <c r="N65" s="50"/>
      <c r="O65" s="44"/>
      <c r="P65" s="47"/>
      <c r="Q65" s="239"/>
    </row>
    <row r="66" spans="1:17" x14ac:dyDescent="0.25">
      <c r="A66" s="4"/>
      <c r="B66" s="877"/>
      <c r="C66" s="516" t="str">
        <f>+'VENTAS 2019'!E66</f>
        <v xml:space="preserve">HOLGADO </v>
      </c>
      <c r="D66" s="402">
        <f>+'VENTAS 2019'!F66</f>
        <v>43721</v>
      </c>
      <c r="E66" s="401" t="str">
        <f>+'VENTAS 2019'!H66</f>
        <v>COCH 10</v>
      </c>
      <c r="F66" s="401" t="str">
        <f>+'VENTAS 2019'!J66</f>
        <v>ZOE</v>
      </c>
      <c r="G66" s="401" t="e">
        <f>+'VENTAS 2019'!#REF!</f>
        <v>#REF!</v>
      </c>
      <c r="H66" s="403">
        <f>+'VENTAS 2019'!K66</f>
        <v>19.899999999999999</v>
      </c>
      <c r="I66" s="528"/>
      <c r="J66" s="528"/>
      <c r="K66" s="528"/>
      <c r="L66" s="404">
        <f>+'VENTAS 2019'!M66</f>
        <v>691469</v>
      </c>
      <c r="M66" s="404">
        <f>+'VENTAS 2019'!N66</f>
        <v>0</v>
      </c>
      <c r="N66" s="50"/>
      <c r="O66" s="44"/>
      <c r="P66" s="47"/>
      <c r="Q66" s="239"/>
    </row>
    <row r="67" spans="1:17" x14ac:dyDescent="0.25">
      <c r="A67" s="4"/>
      <c r="B67" s="877"/>
      <c r="C67" s="516" t="str">
        <f>+'VENTAS 2019'!E67</f>
        <v xml:space="preserve">TENSOLITE </v>
      </c>
      <c r="D67" s="402">
        <f>+'VENTAS 2019'!F67</f>
        <v>43721</v>
      </c>
      <c r="E67" s="401" t="str">
        <f>+'VENTAS 2019'!H67</f>
        <v>10ºE</v>
      </c>
      <c r="F67" s="401" t="str">
        <f>+'VENTAS 2019'!J67</f>
        <v>RED</v>
      </c>
      <c r="G67" s="401" t="e">
        <f>+'VENTAS 2019'!#REF!</f>
        <v>#REF!</v>
      </c>
      <c r="H67" s="403">
        <f>+'VENTAS 2019'!K67</f>
        <v>47.17</v>
      </c>
      <c r="I67" s="528">
        <f t="shared" si="3"/>
        <v>37216.697247706419</v>
      </c>
      <c r="J67" s="528">
        <v>54.5</v>
      </c>
      <c r="K67" s="528">
        <f t="shared" si="4"/>
        <v>788.9908256880733</v>
      </c>
      <c r="L67" s="404">
        <f>+'VENTAS 2019'!M67</f>
        <v>2028310</v>
      </c>
      <c r="M67" s="404">
        <f>+'VENTAS 2019'!N67</f>
        <v>43000</v>
      </c>
      <c r="N67" s="50"/>
      <c r="O67" s="44"/>
      <c r="P67" s="47"/>
      <c r="Q67" s="239"/>
    </row>
    <row r="68" spans="1:17" x14ac:dyDescent="0.25">
      <c r="A68" s="4"/>
      <c r="B68" s="877"/>
      <c r="C68" s="516" t="str">
        <f>+'VENTAS 2019'!E68</f>
        <v xml:space="preserve">TENSOLITE </v>
      </c>
      <c r="D68" s="402">
        <f>+'VENTAS 2019'!F68</f>
        <v>43721</v>
      </c>
      <c r="E68" s="401" t="str">
        <f>+'VENTAS 2019'!H68</f>
        <v>11ºE</v>
      </c>
      <c r="F68" s="401" t="str">
        <f>+'VENTAS 2019'!J68</f>
        <v>RED</v>
      </c>
      <c r="G68" s="401" t="e">
        <f>+'VENTAS 2019'!#REF!</f>
        <v>#REF!</v>
      </c>
      <c r="H68" s="403">
        <f>+'VENTAS 2019'!K68</f>
        <v>47.17</v>
      </c>
      <c r="I68" s="528">
        <f t="shared" si="3"/>
        <v>37216.697247706419</v>
      </c>
      <c r="J68" s="528">
        <v>54.5</v>
      </c>
      <c r="K68" s="528">
        <f t="shared" si="4"/>
        <v>788.9908256880733</v>
      </c>
      <c r="L68" s="404">
        <f>+'VENTAS 2019'!M68</f>
        <v>2028310</v>
      </c>
      <c r="M68" s="404">
        <f>+'VENTAS 2019'!N68</f>
        <v>43000</v>
      </c>
      <c r="N68" s="50"/>
      <c r="O68" s="44"/>
      <c r="P68" s="47"/>
      <c r="Q68" s="239"/>
    </row>
    <row r="69" spans="1:17" x14ac:dyDescent="0.25">
      <c r="A69" s="4"/>
      <c r="B69" s="877"/>
      <c r="C69" s="516" t="str">
        <f>+'VENTAS 2019'!E69</f>
        <v xml:space="preserve">TENSOLITE </v>
      </c>
      <c r="D69" s="402">
        <f>+'VENTAS 2019'!F69</f>
        <v>43721</v>
      </c>
      <c r="E69" s="401" t="str">
        <f>+'VENTAS 2019'!H69</f>
        <v>12ºE</v>
      </c>
      <c r="F69" s="401" t="str">
        <f>+'VENTAS 2019'!J69</f>
        <v>RED</v>
      </c>
      <c r="G69" s="401" t="e">
        <f>+'VENTAS 2019'!#REF!</f>
        <v>#REF!</v>
      </c>
      <c r="H69" s="403">
        <f>+'VENTAS 2019'!K69</f>
        <v>47.17</v>
      </c>
      <c r="I69" s="528">
        <f t="shared" si="3"/>
        <v>37216.697247706419</v>
      </c>
      <c r="J69" s="528">
        <v>54.5</v>
      </c>
      <c r="K69" s="528">
        <f t="shared" si="4"/>
        <v>788.9908256880733</v>
      </c>
      <c r="L69" s="404">
        <f>+'VENTAS 2019'!M69</f>
        <v>2028310</v>
      </c>
      <c r="M69" s="404">
        <f>+'VENTAS 2019'!N69</f>
        <v>43000</v>
      </c>
      <c r="N69" s="50"/>
      <c r="O69" s="44"/>
      <c r="P69" s="47"/>
      <c r="Q69" s="239"/>
    </row>
    <row r="70" spans="1:17" x14ac:dyDescent="0.25">
      <c r="A70" s="4"/>
      <c r="B70" s="877"/>
      <c r="C70" s="516" t="str">
        <f>+'VENTAS 2019'!E70</f>
        <v xml:space="preserve">TENSOLITE </v>
      </c>
      <c r="D70" s="402">
        <f>+'VENTAS 2019'!F70</f>
        <v>43721</v>
      </c>
      <c r="E70" s="401" t="str">
        <f>+'VENTAS 2019'!H70</f>
        <v>13ºE</v>
      </c>
      <c r="F70" s="401" t="str">
        <f>+'VENTAS 2019'!J70</f>
        <v>RED</v>
      </c>
      <c r="G70" s="401" t="e">
        <f>+'VENTAS 2019'!#REF!</f>
        <v>#REF!</v>
      </c>
      <c r="H70" s="403">
        <f>+'VENTAS 2019'!K70</f>
        <v>47.17</v>
      </c>
      <c r="I70" s="528">
        <f t="shared" si="3"/>
        <v>37216.697247706419</v>
      </c>
      <c r="J70" s="528">
        <v>54.5</v>
      </c>
      <c r="K70" s="528">
        <f t="shared" si="4"/>
        <v>788.9908256880733</v>
      </c>
      <c r="L70" s="404">
        <f>+'VENTAS 2019'!M70</f>
        <v>2028310</v>
      </c>
      <c r="M70" s="404">
        <f>+'VENTAS 2019'!N70</f>
        <v>43000</v>
      </c>
      <c r="N70" s="50"/>
      <c r="O70" s="44"/>
      <c r="P70" s="47"/>
      <c r="Q70" s="239"/>
    </row>
    <row r="71" spans="1:17" x14ac:dyDescent="0.25">
      <c r="A71" s="4"/>
      <c r="B71" s="877"/>
      <c r="C71" s="516" t="str">
        <f>+'VENTAS 2019'!E71</f>
        <v xml:space="preserve">TENSOLITE </v>
      </c>
      <c r="D71" s="402">
        <f>+'VENTAS 2019'!F71</f>
        <v>43721</v>
      </c>
      <c r="E71" s="401" t="str">
        <f>+'VENTAS 2019'!H71</f>
        <v>COCH 2</v>
      </c>
      <c r="F71" s="401" t="str">
        <f>+'VENTAS 2019'!J71</f>
        <v>RED</v>
      </c>
      <c r="G71" s="401" t="e">
        <f>+'VENTAS 2019'!#REF!</f>
        <v>#REF!</v>
      </c>
      <c r="H71" s="403">
        <f>+'VENTAS 2019'!K71</f>
        <v>20.66</v>
      </c>
      <c r="I71" s="528"/>
      <c r="J71" s="528"/>
      <c r="K71" s="528"/>
      <c r="L71" s="404">
        <f>+'VENTAS 2019'!M71</f>
        <v>646637.34</v>
      </c>
      <c r="M71" s="404">
        <f>+'VENTAS 2019'!N71</f>
        <v>0</v>
      </c>
      <c r="N71" s="50"/>
      <c r="O71" s="44"/>
      <c r="P71" s="47"/>
      <c r="Q71" s="239"/>
    </row>
    <row r="72" spans="1:17" x14ac:dyDescent="0.25">
      <c r="A72" s="4"/>
      <c r="B72" s="877"/>
      <c r="C72" s="516" t="str">
        <f>+'VENTAS 2019'!E72</f>
        <v xml:space="preserve">TENSOLITE </v>
      </c>
      <c r="D72" s="402">
        <f>+'VENTAS 2019'!F72</f>
        <v>43721</v>
      </c>
      <c r="E72" s="401" t="str">
        <f>+'VENTAS 2019'!H72</f>
        <v>COCH 4</v>
      </c>
      <c r="F72" s="401" t="str">
        <f>+'VENTAS 2019'!J72</f>
        <v>RED</v>
      </c>
      <c r="G72" s="401" t="e">
        <f>+'VENTAS 2019'!#REF!</f>
        <v>#REF!</v>
      </c>
      <c r="H72" s="403">
        <f>+'VENTAS 2019'!K72</f>
        <v>20.66</v>
      </c>
      <c r="I72" s="528"/>
      <c r="J72" s="528"/>
      <c r="K72" s="528"/>
      <c r="L72" s="404">
        <f>+'VENTAS 2019'!M72</f>
        <v>646637.34</v>
      </c>
      <c r="M72" s="404">
        <f>+'VENTAS 2019'!N72</f>
        <v>0</v>
      </c>
    </row>
    <row r="73" spans="1:17" x14ac:dyDescent="0.25">
      <c r="A73" s="4"/>
      <c r="B73" s="877"/>
      <c r="C73" s="516" t="str">
        <f>+'VENTAS 2019'!E73</f>
        <v xml:space="preserve">TENSOLITE </v>
      </c>
      <c r="D73" s="402">
        <f>+'VENTAS 2019'!F73</f>
        <v>43721</v>
      </c>
      <c r="E73" s="401" t="str">
        <f>+'VENTAS 2019'!H73</f>
        <v>COCH 8</v>
      </c>
      <c r="F73" s="401" t="str">
        <f>+'VENTAS 2019'!J73</f>
        <v>RED</v>
      </c>
      <c r="G73" s="401" t="e">
        <f>+'VENTAS 2019'!#REF!</f>
        <v>#REF!</v>
      </c>
      <c r="H73" s="403">
        <f>+'VENTAS 2019'!K73</f>
        <v>20.66</v>
      </c>
      <c r="I73" s="528"/>
      <c r="J73" s="528"/>
      <c r="K73" s="528"/>
      <c r="L73" s="404">
        <f>+'VENTAS 2019'!M73</f>
        <v>646637.34</v>
      </c>
      <c r="M73" s="404">
        <f>+'VENTAS 2019'!N73</f>
        <v>0</v>
      </c>
      <c r="N73" s="50"/>
      <c r="O73" s="218"/>
      <c r="P73" s="140"/>
      <c r="Q73" s="141"/>
    </row>
    <row r="74" spans="1:17" x14ac:dyDescent="0.25">
      <c r="A74" s="4"/>
      <c r="B74" s="877"/>
      <c r="C74" s="516" t="str">
        <f>+'VENTAS 2019'!E74</f>
        <v xml:space="preserve">TENSOLITE </v>
      </c>
      <c r="D74" s="402">
        <f>+'VENTAS 2019'!F74</f>
        <v>43721</v>
      </c>
      <c r="E74" s="401" t="str">
        <f>+'VENTAS 2019'!H74</f>
        <v>COCH 9</v>
      </c>
      <c r="F74" s="401" t="str">
        <f>+'VENTAS 2019'!J74</f>
        <v>RED</v>
      </c>
      <c r="G74" s="401" t="e">
        <f>+'VENTAS 2019'!#REF!</f>
        <v>#REF!</v>
      </c>
      <c r="H74" s="403">
        <f>+'VENTAS 2019'!K74</f>
        <v>20.66</v>
      </c>
      <c r="I74" s="528"/>
      <c r="J74" s="528"/>
      <c r="K74" s="528"/>
      <c r="L74" s="404">
        <f>+'VENTAS 2019'!M74</f>
        <v>646637.34</v>
      </c>
      <c r="M74" s="404">
        <f>+'VENTAS 2019'!N74</f>
        <v>0</v>
      </c>
      <c r="N74" s="50"/>
      <c r="O74" s="218"/>
      <c r="P74" s="140"/>
      <c r="Q74" s="141"/>
    </row>
    <row r="75" spans="1:17" x14ac:dyDescent="0.25">
      <c r="A75" s="4"/>
      <c r="B75" s="877"/>
      <c r="C75" s="516" t="str">
        <f>+'VENTAS 2019'!E75</f>
        <v xml:space="preserve">TENSOLITE </v>
      </c>
      <c r="D75" s="402">
        <f>+'VENTAS 2019'!F75</f>
        <v>43721</v>
      </c>
      <c r="E75" s="401" t="str">
        <f>+'VENTAS 2019'!H75</f>
        <v>16ºE</v>
      </c>
      <c r="F75" s="401" t="str">
        <f>+'VENTAS 2019'!J75</f>
        <v>ZOE</v>
      </c>
      <c r="G75" s="401" t="e">
        <f>+'VENTAS 2019'!#REF!</f>
        <v>#REF!</v>
      </c>
      <c r="H75" s="403">
        <f>+'VENTAS 2019'!K75</f>
        <v>46.62</v>
      </c>
      <c r="I75" s="528">
        <f t="shared" si="3"/>
        <v>39776.697247706419</v>
      </c>
      <c r="J75" s="528">
        <v>54.5</v>
      </c>
      <c r="K75" s="528">
        <f t="shared" si="4"/>
        <v>853.21100917431193</v>
      </c>
      <c r="L75" s="404">
        <f>+'VENTAS 2019'!M75</f>
        <v>2167830</v>
      </c>
      <c r="M75" s="404">
        <f>+'VENTAS 2019'!N75</f>
        <v>46500</v>
      </c>
      <c r="N75" s="50"/>
      <c r="O75" s="218"/>
      <c r="P75" s="140"/>
      <c r="Q75" s="141"/>
    </row>
    <row r="76" spans="1:17" x14ac:dyDescent="0.25">
      <c r="A76" s="4"/>
      <c r="B76" s="877"/>
      <c r="C76" s="516" t="str">
        <f>+'VENTAS 2019'!E76</f>
        <v xml:space="preserve">TENSOLITE </v>
      </c>
      <c r="D76" s="402">
        <f>+'VENTAS 2019'!F76</f>
        <v>43721</v>
      </c>
      <c r="E76" s="401" t="str">
        <f>+'VENTAS 2019'!H76</f>
        <v>COCH 15</v>
      </c>
      <c r="F76" s="401" t="str">
        <f>+'VENTAS 2019'!J76</f>
        <v>ZOE</v>
      </c>
      <c r="G76" s="401" t="e">
        <f>+'VENTAS 2019'!#REF!</f>
        <v>#REF!</v>
      </c>
      <c r="H76" s="403">
        <f>+'VENTAS 2019'!K76</f>
        <v>19.899999999999999</v>
      </c>
      <c r="I76" s="528"/>
      <c r="J76" s="528"/>
      <c r="K76" s="528"/>
      <c r="L76" s="404">
        <f>+'VENTAS 2019'!M76</f>
        <v>686550</v>
      </c>
      <c r="M76" s="404">
        <f>+'VENTAS 2019'!N76</f>
        <v>0</v>
      </c>
      <c r="N76" s="50"/>
      <c r="O76" s="218"/>
      <c r="P76" s="140"/>
      <c r="Q76" s="141"/>
    </row>
    <row r="77" spans="1:17" x14ac:dyDescent="0.25">
      <c r="A77" s="4"/>
      <c r="B77" s="877"/>
      <c r="C77" s="516" t="str">
        <f>+'VENTAS 2019'!E77</f>
        <v xml:space="preserve">TENSOLITE </v>
      </c>
      <c r="D77" s="402">
        <f>+'VENTAS 2019'!F77</f>
        <v>43721</v>
      </c>
      <c r="E77" s="401" t="str">
        <f>+'VENTAS 2019'!H77</f>
        <v>11ºA</v>
      </c>
      <c r="F77" s="401" t="str">
        <f>+'VENTAS 2019'!J77</f>
        <v xml:space="preserve">ISAURA </v>
      </c>
      <c r="G77" s="401" t="e">
        <f>+'VENTAS 2019'!#REF!</f>
        <v>#REF!</v>
      </c>
      <c r="H77" s="403">
        <f>+'VENTAS 2019'!K77</f>
        <v>35.78</v>
      </c>
      <c r="I77" s="528">
        <f t="shared" si="3"/>
        <v>27003.009174311926</v>
      </c>
      <c r="J77" s="528">
        <v>54.5</v>
      </c>
      <c r="K77" s="528">
        <f t="shared" si="4"/>
        <v>754.69561694555409</v>
      </c>
      <c r="L77" s="404">
        <f>+'VENTAS 2019'!M77</f>
        <v>1471664</v>
      </c>
      <c r="M77" s="404">
        <f>+'VENTAS 2019'!N77</f>
        <v>41130.9111235327</v>
      </c>
      <c r="N77" s="50"/>
      <c r="O77" s="218"/>
      <c r="P77" s="140"/>
      <c r="Q77" s="141"/>
    </row>
    <row r="78" spans="1:17" x14ac:dyDescent="0.25">
      <c r="A78" s="4"/>
      <c r="B78" s="877"/>
      <c r="C78" s="516" t="str">
        <f>+'VENTAS 2019'!E78</f>
        <v xml:space="preserve">TENSOLITE </v>
      </c>
      <c r="D78" s="402">
        <f>+'VENTAS 2019'!F78</f>
        <v>43721</v>
      </c>
      <c r="E78" s="401" t="str">
        <f>+'VENTAS 2019'!H78</f>
        <v>12ºA</v>
      </c>
      <c r="F78" s="401" t="str">
        <f>+'VENTAS 2019'!J78</f>
        <v xml:space="preserve">ISAURA </v>
      </c>
      <c r="G78" s="401" t="e">
        <f>+'VENTAS 2019'!#REF!</f>
        <v>#REF!</v>
      </c>
      <c r="H78" s="403">
        <f>+'VENTAS 2019'!K78</f>
        <v>35.78</v>
      </c>
      <c r="I78" s="528">
        <f t="shared" ref="I78:I96" si="5">+L78/J78</f>
        <v>27003.009174311926</v>
      </c>
      <c r="J78" s="528">
        <v>54.5</v>
      </c>
      <c r="K78" s="528">
        <f t="shared" ref="K78:K96" si="6">+I78/H78</f>
        <v>754.69561694555409</v>
      </c>
      <c r="L78" s="404">
        <f>+'VENTAS 2019'!M78</f>
        <v>1471664</v>
      </c>
      <c r="M78" s="404">
        <f>+'VENTAS 2019'!N78</f>
        <v>41130.9111235327</v>
      </c>
      <c r="N78" s="50"/>
      <c r="O78" s="218"/>
      <c r="P78" s="140"/>
      <c r="Q78" s="141"/>
    </row>
    <row r="79" spans="1:17" x14ac:dyDescent="0.25">
      <c r="A79" s="4"/>
      <c r="B79" s="877"/>
      <c r="C79" s="516" t="str">
        <f>+'VENTAS 2019'!E79</f>
        <v xml:space="preserve">TENSOLITE </v>
      </c>
      <c r="D79" s="402">
        <f>+'VENTAS 2019'!F79</f>
        <v>43721</v>
      </c>
      <c r="E79" s="401" t="str">
        <f>+'VENTAS 2019'!H79</f>
        <v>13ºA</v>
      </c>
      <c r="F79" s="401" t="str">
        <f>+'VENTAS 2019'!J79</f>
        <v xml:space="preserve">ISAURA </v>
      </c>
      <c r="G79" s="401" t="e">
        <f>+'VENTAS 2019'!#REF!</f>
        <v>#REF!</v>
      </c>
      <c r="H79" s="403">
        <f>+'VENTAS 2019'!K79</f>
        <v>35.78</v>
      </c>
      <c r="I79" s="528">
        <f t="shared" si="5"/>
        <v>27003.009174311926</v>
      </c>
      <c r="J79" s="528">
        <v>54.5</v>
      </c>
      <c r="K79" s="528">
        <f t="shared" si="6"/>
        <v>754.69561694555409</v>
      </c>
      <c r="L79" s="404">
        <f>+'VENTAS 2019'!M79</f>
        <v>1471664</v>
      </c>
      <c r="M79" s="404">
        <f>+'VENTAS 2019'!N79</f>
        <v>41130.9111235327</v>
      </c>
      <c r="N79" s="50"/>
      <c r="O79" s="218"/>
      <c r="P79" s="140"/>
      <c r="Q79" s="141"/>
    </row>
    <row r="80" spans="1:17" x14ac:dyDescent="0.25">
      <c r="A80" s="4"/>
      <c r="B80" s="877"/>
      <c r="C80" s="516" t="str">
        <f>+'VENTAS 2019'!E80</f>
        <v xml:space="preserve">TENSOLITE </v>
      </c>
      <c r="D80" s="402">
        <f>+'VENTAS 2019'!F80</f>
        <v>43721</v>
      </c>
      <c r="E80" s="401" t="str">
        <f>+'VENTAS 2019'!H80</f>
        <v>11ºF</v>
      </c>
      <c r="F80" s="401" t="str">
        <f>+'VENTAS 2019'!J80</f>
        <v xml:space="preserve">ISAURA </v>
      </c>
      <c r="G80" s="401" t="e">
        <f>+'VENTAS 2019'!#REF!</f>
        <v>#REF!</v>
      </c>
      <c r="H80" s="403">
        <f>+'VENTAS 2019'!K80</f>
        <v>35.78</v>
      </c>
      <c r="I80" s="528">
        <f t="shared" si="5"/>
        <v>27003.009174311926</v>
      </c>
      <c r="J80" s="528">
        <v>54.5</v>
      </c>
      <c r="K80" s="528">
        <f t="shared" si="6"/>
        <v>754.69561694555409</v>
      </c>
      <c r="L80" s="404">
        <f>+'VENTAS 2019'!M80</f>
        <v>1471664</v>
      </c>
      <c r="M80" s="404">
        <f>+'VENTAS 2019'!N80</f>
        <v>41130.9111235327</v>
      </c>
      <c r="N80" s="50"/>
      <c r="O80" s="218"/>
      <c r="P80" s="140"/>
      <c r="Q80" s="141"/>
    </row>
    <row r="81" spans="1:28" x14ac:dyDescent="0.25">
      <c r="A81" s="4"/>
      <c r="B81" s="877"/>
      <c r="C81" s="516" t="str">
        <f>+'VENTAS 2019'!E81</f>
        <v xml:space="preserve">TENSOLITE </v>
      </c>
      <c r="D81" s="402">
        <f>+'VENTAS 2019'!F81</f>
        <v>43721</v>
      </c>
      <c r="E81" s="401" t="str">
        <f>+'VENTAS 2019'!H81</f>
        <v>COCH 1</v>
      </c>
      <c r="F81" s="401" t="str">
        <f>+'VENTAS 2019'!J81</f>
        <v xml:space="preserve">ISAURA </v>
      </c>
      <c r="G81" s="401" t="e">
        <f>+'VENTAS 2019'!#REF!</f>
        <v>#REF!</v>
      </c>
      <c r="H81" s="403">
        <f>+'VENTAS 2019'!K81</f>
        <v>20.32</v>
      </c>
      <c r="I81" s="528"/>
      <c r="J81" s="528"/>
      <c r="K81" s="528"/>
      <c r="L81" s="404">
        <f>+'VENTAS 2019'!M81</f>
        <v>639024.44759999996</v>
      </c>
      <c r="M81" s="404">
        <f>+'VENTAS 2019'!N81</f>
        <v>0</v>
      </c>
      <c r="N81" s="50"/>
      <c r="O81" s="218"/>
      <c r="P81" s="140"/>
      <c r="Q81" s="141"/>
    </row>
    <row r="82" spans="1:28" x14ac:dyDescent="0.25">
      <c r="A82" s="4"/>
      <c r="B82" s="877"/>
      <c r="C82" s="516" t="str">
        <f>+'VENTAS 2019'!E82</f>
        <v xml:space="preserve">TENSOLITE </v>
      </c>
      <c r="D82" s="402">
        <f>+'VENTAS 2019'!F82</f>
        <v>43721</v>
      </c>
      <c r="E82" s="401" t="str">
        <f>+'VENTAS 2019'!H82</f>
        <v>COCH 2</v>
      </c>
      <c r="F82" s="401" t="str">
        <f>+'VENTAS 2019'!J82</f>
        <v xml:space="preserve">ISAURA </v>
      </c>
      <c r="G82" s="401" t="e">
        <f>+'VENTAS 2019'!#REF!</f>
        <v>#REF!</v>
      </c>
      <c r="H82" s="403">
        <f>+'VENTAS 2019'!K82</f>
        <v>20.32</v>
      </c>
      <c r="I82" s="528"/>
      <c r="J82" s="528"/>
      <c r="K82" s="528"/>
      <c r="L82" s="404">
        <f>+'VENTAS 2019'!M82</f>
        <v>639024.44759999996</v>
      </c>
      <c r="M82" s="404">
        <f>+'VENTAS 2019'!N82</f>
        <v>0</v>
      </c>
      <c r="N82" s="50"/>
      <c r="O82" s="218"/>
      <c r="P82" s="140"/>
      <c r="Q82" s="141"/>
    </row>
    <row r="83" spans="1:28" s="44" customFormat="1" ht="15" customHeight="1" x14ac:dyDescent="0.25">
      <c r="A83" s="41"/>
      <c r="B83" s="877"/>
      <c r="C83" s="516" t="str">
        <f>+'VENTAS 2019'!E83</f>
        <v xml:space="preserve">TENSOLITE </v>
      </c>
      <c r="D83" s="402">
        <f>+'VENTAS 2019'!F83</f>
        <v>43721</v>
      </c>
      <c r="E83" s="401" t="str">
        <f>+'VENTAS 2019'!H83</f>
        <v>COCH 3</v>
      </c>
      <c r="F83" s="401" t="str">
        <f>+'VENTAS 2019'!J83</f>
        <v xml:space="preserve">ISAURA </v>
      </c>
      <c r="G83" s="401" t="e">
        <f>+'VENTAS 2019'!#REF!</f>
        <v>#REF!</v>
      </c>
      <c r="H83" s="403">
        <f>+'VENTAS 2019'!K83</f>
        <v>20.32</v>
      </c>
      <c r="I83" s="528"/>
      <c r="J83" s="528"/>
      <c r="K83" s="528"/>
      <c r="L83" s="404">
        <f>+'VENTAS 2019'!M83</f>
        <v>639024.44759999996</v>
      </c>
      <c r="M83" s="404">
        <f>+'VENTAS 2019'!N83</f>
        <v>0</v>
      </c>
    </row>
    <row r="84" spans="1:28" s="44" customFormat="1" ht="15.75" thickBot="1" x14ac:dyDescent="0.3">
      <c r="A84" s="41"/>
      <c r="B84" s="877"/>
      <c r="C84" s="516" t="str">
        <f>+'VENTAS 2019'!E84</f>
        <v xml:space="preserve">TENSOLITE </v>
      </c>
      <c r="D84" s="402">
        <f>+'VENTAS 2019'!F84</f>
        <v>43721</v>
      </c>
      <c r="E84" s="401" t="str">
        <f>+'VENTAS 2019'!H84</f>
        <v>COCH 4</v>
      </c>
      <c r="F84" s="401" t="str">
        <f>+'VENTAS 2019'!J84</f>
        <v xml:space="preserve">ISAURA </v>
      </c>
      <c r="G84" s="401" t="e">
        <f>+'VENTAS 2019'!#REF!</f>
        <v>#REF!</v>
      </c>
      <c r="H84" s="403">
        <f>+'VENTAS 2019'!K84</f>
        <v>20.32</v>
      </c>
      <c r="I84" s="528"/>
      <c r="J84" s="528"/>
      <c r="K84" s="528"/>
      <c r="L84" s="404">
        <f>+'VENTAS 2019'!M84</f>
        <v>639024.44759999996</v>
      </c>
      <c r="M84" s="404">
        <f>+'VENTAS 2019'!N84</f>
        <v>0</v>
      </c>
      <c r="N84" s="49" t="s">
        <v>31</v>
      </c>
      <c r="O84" s="51">
        <f>SUM(L59:L84)</f>
        <v>39929546.4604</v>
      </c>
      <c r="P84" s="48">
        <v>5135</v>
      </c>
      <c r="Q84" s="52">
        <f>+O84/P84</f>
        <v>7775.958414878286</v>
      </c>
    </row>
    <row r="85" spans="1:28" s="44" customFormat="1" ht="21.75" customHeight="1" x14ac:dyDescent="0.25">
      <c r="A85" s="41"/>
      <c r="B85" s="936" t="s">
        <v>208</v>
      </c>
      <c r="C85" s="515" t="str">
        <f>+'VENTAS 2019'!E85</f>
        <v xml:space="preserve">MATIAS TREJO </v>
      </c>
      <c r="D85" s="395">
        <f>+'VENTAS 2019'!F85</f>
        <v>43742</v>
      </c>
      <c r="E85" s="394" t="str">
        <f>+'VENTAS 2019'!H85</f>
        <v>PBºD</v>
      </c>
      <c r="F85" s="394" t="str">
        <f>+'VENTAS 2019'!J85</f>
        <v>BLUE</v>
      </c>
      <c r="G85" s="394" t="e">
        <f>+'VENTAS 2019'!#REF!</f>
        <v>#REF!</v>
      </c>
      <c r="H85" s="397">
        <f>+'VENTAS 2019'!K85</f>
        <v>54.44</v>
      </c>
      <c r="I85" s="527">
        <f>+L85/J85</f>
        <v>42881.228215767638</v>
      </c>
      <c r="J85" s="527">
        <v>60.25</v>
      </c>
      <c r="K85" s="527">
        <f t="shared" si="6"/>
        <v>787.67869610153639</v>
      </c>
      <c r="L85" s="398">
        <f>+'VENTAS 2019'!M85</f>
        <v>2583594</v>
      </c>
      <c r="M85" s="398">
        <f>+'VENTAS 2019'!N85</f>
        <v>47457.641440117564</v>
      </c>
    </row>
    <row r="86" spans="1:28" s="44" customFormat="1" ht="15" customHeight="1" x14ac:dyDescent="0.25">
      <c r="A86" s="41"/>
      <c r="B86" s="937"/>
      <c r="C86" s="515" t="str">
        <f>+'VENTAS 2019'!E86</f>
        <v>JEMIO</v>
      </c>
      <c r="D86" s="395">
        <f>+'VENTAS 2019'!F86</f>
        <v>43763</v>
      </c>
      <c r="E86" s="394" t="str">
        <f>+'VENTAS 2019'!H86</f>
        <v>14ºG</v>
      </c>
      <c r="F86" s="394" t="str">
        <f>+'VENTAS 2019'!J86</f>
        <v>ZOE</v>
      </c>
      <c r="G86" s="394" t="e">
        <f>+'VENTAS 2019'!#REF!</f>
        <v>#REF!</v>
      </c>
      <c r="H86" s="397">
        <f>+'VENTAS 2019'!K86</f>
        <v>35.700000000000003</v>
      </c>
      <c r="I86" s="527">
        <f>+L86/J86</f>
        <v>33671.785714285717</v>
      </c>
      <c r="J86" s="527">
        <v>70</v>
      </c>
      <c r="K86" s="527">
        <f t="shared" si="6"/>
        <v>943.187274909964</v>
      </c>
      <c r="L86" s="398">
        <f>+'VENTAS 2019'!M86</f>
        <v>2357025</v>
      </c>
      <c r="M86" s="398">
        <f>+'VENTAS 2019'!N86</f>
        <v>66023.109243697472</v>
      </c>
    </row>
    <row r="87" spans="1:28" s="44" customFormat="1" ht="15" customHeight="1" thickBot="1" x14ac:dyDescent="0.3">
      <c r="A87" s="41"/>
      <c r="B87" s="938"/>
      <c r="C87" s="515" t="str">
        <f>+'VENTAS 2019'!E87</f>
        <v>CHINETTI</v>
      </c>
      <c r="D87" s="395">
        <f>+'VENTAS 2019'!F87</f>
        <v>43769</v>
      </c>
      <c r="E87" s="394" t="str">
        <f>+'VENTAS 2019'!H87</f>
        <v>9ºF</v>
      </c>
      <c r="F87" s="394" t="str">
        <f>+'VENTAS 2019'!J87</f>
        <v>BLUE</v>
      </c>
      <c r="G87" s="394" t="e">
        <f>+'VENTAS 2019'!#REF!</f>
        <v>#REF!</v>
      </c>
      <c r="H87" s="397">
        <f>+'VENTAS 2019'!K87</f>
        <v>60.13</v>
      </c>
      <c r="I87" s="527">
        <f>+L87/J87</f>
        <v>61687.059701492537</v>
      </c>
      <c r="J87" s="527">
        <v>67</v>
      </c>
      <c r="K87" s="527">
        <f t="shared" si="6"/>
        <v>1025.8948894311081</v>
      </c>
      <c r="L87" s="398">
        <f>+'VENTAS 2019'!M87</f>
        <v>4133033</v>
      </c>
      <c r="M87" s="398">
        <f>+'VENTAS 2019'!N87</f>
        <v>68734.957591884246</v>
      </c>
      <c r="N87" s="49" t="s">
        <v>33</v>
      </c>
      <c r="O87" s="51">
        <f>SUM(L85:L87)</f>
        <v>9073652</v>
      </c>
      <c r="P87" s="48">
        <v>5275</v>
      </c>
      <c r="Q87" s="52">
        <f>+O87/P87</f>
        <v>1720.1236018957345</v>
      </c>
    </row>
    <row r="88" spans="1:28" s="44" customFormat="1" ht="15" customHeight="1" x14ac:dyDescent="0.25">
      <c r="A88" s="41"/>
      <c r="B88" s="876" t="s">
        <v>34</v>
      </c>
      <c r="C88" s="516" t="str">
        <f>+'VENTAS 2019'!E88</f>
        <v xml:space="preserve">RAJMIEL - ARANA </v>
      </c>
      <c r="D88" s="402">
        <f>+'VENTAS 2019'!F88</f>
        <v>43782</v>
      </c>
      <c r="E88" s="401" t="str">
        <f>+'VENTAS 2019'!H88</f>
        <v>11º FRENTE</v>
      </c>
      <c r="F88" s="401" t="str">
        <f>+'VENTAS 2019'!J88</f>
        <v>VITTALIA</v>
      </c>
      <c r="G88" s="401" t="e">
        <f>+'VENTAS 2019'!#REF!</f>
        <v>#REF!</v>
      </c>
      <c r="H88" s="403">
        <f>+'VENTAS 2019'!K88</f>
        <v>256.44</v>
      </c>
      <c r="I88" s="528">
        <f t="shared" si="5"/>
        <v>299518.50400000002</v>
      </c>
      <c r="J88" s="528">
        <v>64.5</v>
      </c>
      <c r="K88" s="528">
        <f t="shared" si="6"/>
        <v>1167.9866791452191</v>
      </c>
      <c r="L88" s="404">
        <f>+'VENTAS 2019'!M88</f>
        <v>19318943.508000001</v>
      </c>
      <c r="M88" s="404">
        <f>+'VENTAS 2019'!N88</f>
        <v>75335.140804866634</v>
      </c>
    </row>
    <row r="89" spans="1:28" s="44" customFormat="1" x14ac:dyDescent="0.25">
      <c r="A89" s="41"/>
      <c r="B89" s="877"/>
      <c r="C89" s="516" t="str">
        <f>+'VENTAS 2019'!E89</f>
        <v xml:space="preserve">RAJMIEL - ARANA </v>
      </c>
      <c r="D89" s="402">
        <f>+'VENTAS 2019'!F89</f>
        <v>43782</v>
      </c>
      <c r="E89" s="401" t="str">
        <f>+'VENTAS 2019'!H89</f>
        <v>COCH 4</v>
      </c>
      <c r="F89" s="401" t="str">
        <f>+'VENTAS 2019'!J89</f>
        <v>VITTALIA</v>
      </c>
      <c r="G89" s="401" t="e">
        <f>+'VENTAS 2019'!#REF!</f>
        <v>#REF!</v>
      </c>
      <c r="H89" s="403">
        <f>+'VENTAS 2019'!K89</f>
        <v>35.6</v>
      </c>
      <c r="I89" s="528"/>
      <c r="J89" s="528"/>
      <c r="K89" s="528"/>
      <c r="L89" s="404">
        <f>+'VENTAS 2019'!M89</f>
        <v>1255559.4157730797</v>
      </c>
      <c r="M89" s="404">
        <f>+'VENTAS 2019'!N89</f>
        <v>0</v>
      </c>
    </row>
    <row r="90" spans="1:28" s="44" customFormat="1" ht="54" customHeight="1" x14ac:dyDescent="0.25">
      <c r="A90" s="41"/>
      <c r="B90" s="877"/>
      <c r="C90" s="516" t="str">
        <f>+'VENTAS 2019'!E90</f>
        <v xml:space="preserve">RAJMIEL - ARANA </v>
      </c>
      <c r="D90" s="402">
        <f>+'VENTAS 2019'!F90</f>
        <v>43782</v>
      </c>
      <c r="E90" s="401" t="str">
        <f>+'VENTAS 2019'!H90</f>
        <v>COCH 17</v>
      </c>
      <c r="F90" s="401" t="str">
        <f>+'VENTAS 2019'!J90</f>
        <v>VITTALIA</v>
      </c>
      <c r="G90" s="401" t="e">
        <f>+'VENTAS 2019'!#REF!</f>
        <v>#REF!</v>
      </c>
      <c r="H90" s="403">
        <f>+'VENTAS 2019'!K90</f>
        <v>23.53</v>
      </c>
      <c r="I90" s="528"/>
      <c r="J90" s="528"/>
      <c r="K90" s="528"/>
      <c r="L90" s="404">
        <f>+'VENTAS 2019'!M90</f>
        <v>1355497.0717615399</v>
      </c>
      <c r="M90" s="404">
        <f>+'VENTAS 2019'!N90</f>
        <v>0</v>
      </c>
    </row>
    <row r="91" spans="1:28" s="44" customFormat="1" ht="15.75" thickBot="1" x14ac:dyDescent="0.3">
      <c r="A91" s="41"/>
      <c r="B91" s="877"/>
      <c r="C91" s="516" t="str">
        <f>+'VENTAS 2019'!E91</f>
        <v xml:space="preserve">LAMBERTI- VALDEZ </v>
      </c>
      <c r="D91" s="402">
        <f>+'VENTAS 2019'!F91</f>
        <v>43789</v>
      </c>
      <c r="E91" s="401" t="str">
        <f>+'VENTAS 2019'!H91</f>
        <v>6ºD</v>
      </c>
      <c r="F91" s="401" t="str">
        <f>+'VENTAS 2019'!J91</f>
        <v>ZOE</v>
      </c>
      <c r="G91" s="401" t="e">
        <f>+'VENTAS 2019'!#REF!</f>
        <v>#REF!</v>
      </c>
      <c r="H91" s="403">
        <f>+'VENTAS 2019'!K91</f>
        <v>40.86</v>
      </c>
      <c r="I91" s="528">
        <f t="shared" si="5"/>
        <v>38500</v>
      </c>
      <c r="J91" s="528">
        <v>67</v>
      </c>
      <c r="K91" s="528">
        <f t="shared" si="6"/>
        <v>942.24180127263833</v>
      </c>
      <c r="L91" s="404">
        <f>+'VENTAS 2019'!M91</f>
        <v>2579500</v>
      </c>
      <c r="M91" s="404">
        <f>+'VENTAS 2019'!N91</f>
        <v>63130.200685266762</v>
      </c>
    </row>
    <row r="92" spans="1:28" s="44" customFormat="1" ht="15" customHeight="1" x14ac:dyDescent="0.25">
      <c r="B92" s="877"/>
      <c r="C92" s="516" t="str">
        <f>+'VENTAS 2019'!E92</f>
        <v xml:space="preserve">LAMBERTI- VALDEZ </v>
      </c>
      <c r="D92" s="402">
        <f>+'VENTAS 2019'!F92</f>
        <v>43789</v>
      </c>
      <c r="E92" s="401" t="str">
        <f>+'VENTAS 2019'!H92</f>
        <v>10ºD</v>
      </c>
      <c r="F92" s="401" t="str">
        <f>+'VENTAS 2019'!J92</f>
        <v>ZOE</v>
      </c>
      <c r="G92" s="401" t="e">
        <f>+'VENTAS 2019'!#REF!</f>
        <v>#REF!</v>
      </c>
      <c r="H92" s="403">
        <f>+'VENTAS 2019'!K92</f>
        <v>40.86</v>
      </c>
      <c r="I92" s="528">
        <f t="shared" si="5"/>
        <v>38500</v>
      </c>
      <c r="J92" s="528">
        <v>67</v>
      </c>
      <c r="K92" s="528">
        <f t="shared" si="6"/>
        <v>942.24180127263833</v>
      </c>
      <c r="L92" s="404">
        <f>+'VENTAS 2019'!M92</f>
        <v>2579500</v>
      </c>
      <c r="M92" s="404">
        <f>+'VENTAS 2019'!N92</f>
        <v>63130.200685266762</v>
      </c>
      <c r="N92" s="140"/>
      <c r="O92" s="141"/>
      <c r="Y92" s="63">
        <f>+L92</f>
        <v>2579500</v>
      </c>
      <c r="Z92" s="63"/>
      <c r="AA92" s="64">
        <f>SUM(Y92:Z92)</f>
        <v>2579500</v>
      </c>
      <c r="AB92" s="65" t="s">
        <v>59</v>
      </c>
    </row>
    <row r="93" spans="1:28" s="44" customFormat="1" ht="15.75" thickBot="1" x14ac:dyDescent="0.3">
      <c r="B93" s="935"/>
      <c r="C93" s="516" t="str">
        <f>+'VENTAS 2019'!E93</f>
        <v xml:space="preserve">BERCOVICH </v>
      </c>
      <c r="D93" s="402">
        <f>+'VENTAS 2019'!F93</f>
        <v>43797</v>
      </c>
      <c r="E93" s="401" t="str">
        <f>+'VENTAS 2019'!H93</f>
        <v>11ºH</v>
      </c>
      <c r="F93" s="401" t="str">
        <f>+'VENTAS 2019'!J93</f>
        <v>ZOE</v>
      </c>
      <c r="G93" s="401" t="e">
        <f>+'VENTAS 2019'!#REF!</f>
        <v>#REF!</v>
      </c>
      <c r="H93" s="403">
        <f>+'VENTAS 2019'!K93</f>
        <v>74.5</v>
      </c>
      <c r="I93" s="528">
        <f t="shared" si="5"/>
        <v>47838.329670329673</v>
      </c>
      <c r="J93" s="528">
        <v>68.25</v>
      </c>
      <c r="K93" s="528">
        <f t="shared" si="6"/>
        <v>642.12523047422383</v>
      </c>
      <c r="L93" s="404">
        <f>+'VENTAS 2019'!M93</f>
        <v>3264966</v>
      </c>
      <c r="M93" s="404">
        <f>+'VENTAS 2019'!N93</f>
        <v>43825.046979865772</v>
      </c>
      <c r="N93" s="49" t="s">
        <v>34</v>
      </c>
      <c r="O93" s="51">
        <f>SUM(L88:L93)</f>
        <v>30353965.995534621</v>
      </c>
      <c r="P93" s="48">
        <v>5445</v>
      </c>
      <c r="Q93" s="52">
        <f>+O93/P93</f>
        <v>5574.6494023020423</v>
      </c>
      <c r="Y93" s="49">
        <f>10000*80+3600*80+800*86</f>
        <v>1156800</v>
      </c>
      <c r="Z93" s="49"/>
      <c r="AA93" s="204">
        <f>SUM(Y93:Z93)</f>
        <v>1156800</v>
      </c>
      <c r="AB93" s="227" t="s">
        <v>223</v>
      </c>
    </row>
    <row r="94" spans="1:28" s="44" customFormat="1" ht="15" customHeight="1" x14ac:dyDescent="0.25">
      <c r="B94" s="876" t="s">
        <v>35</v>
      </c>
      <c r="C94" s="515" t="str">
        <f>+'VENTAS 2019'!E94</f>
        <v>PADILLA</v>
      </c>
      <c r="D94" s="395">
        <f>+'VENTAS 2019'!F94</f>
        <v>43805</v>
      </c>
      <c r="E94" s="394" t="str">
        <f>+'VENTAS 2019'!H94</f>
        <v>12ºFRENTE</v>
      </c>
      <c r="F94" s="394" t="str">
        <f>+'VENTAS 2019'!J94</f>
        <v>VITTALIA</v>
      </c>
      <c r="G94" s="394" t="e">
        <f>+'VENTAS 2019'!#REF!</f>
        <v>#REF!</v>
      </c>
      <c r="H94" s="397">
        <f>+'VENTAS 2019'!K94</f>
        <v>256.44</v>
      </c>
      <c r="I94" s="527">
        <f t="shared" si="5"/>
        <v>295829</v>
      </c>
      <c r="J94" s="527">
        <v>67</v>
      </c>
      <c r="K94" s="527">
        <f t="shared" si="6"/>
        <v>1153.5992824832319</v>
      </c>
      <c r="L94" s="398">
        <f>+'VENTAS 2019'!M94</f>
        <v>19820543</v>
      </c>
      <c r="M94" s="398">
        <f>+'VENTAS 2019'!N94</f>
        <v>77291.151926376537</v>
      </c>
    </row>
    <row r="95" spans="1:28" s="44" customFormat="1" x14ac:dyDescent="0.25">
      <c r="B95" s="877"/>
      <c r="C95" s="515" t="str">
        <f>+'VENTAS 2019'!E95</f>
        <v>ROMERO / PARRAVICINI</v>
      </c>
      <c r="D95" s="395">
        <f>+'VENTAS 2019'!F95</f>
        <v>43826</v>
      </c>
      <c r="E95" s="394" t="str">
        <f>+'VENTAS 2019'!H95</f>
        <v>12ºD</v>
      </c>
      <c r="F95" s="394" t="str">
        <f>+'VENTAS 2019'!J95</f>
        <v>BLUE</v>
      </c>
      <c r="G95" s="394" t="e">
        <f>+'VENTAS 2019'!#REF!</f>
        <v>#REF!</v>
      </c>
      <c r="H95" s="397">
        <f>+'VENTAS 2019'!K95</f>
        <v>47.77</v>
      </c>
      <c r="I95" s="527">
        <f t="shared" si="5"/>
        <v>49609.074999999997</v>
      </c>
      <c r="J95" s="527">
        <v>80</v>
      </c>
      <c r="K95" s="527">
        <f t="shared" si="6"/>
        <v>1038.4985346451747</v>
      </c>
      <c r="L95" s="398">
        <f>+'VENTAS 2019'!M95</f>
        <v>3968726</v>
      </c>
      <c r="M95" s="398">
        <f>+'VENTAS 2019'!N95</f>
        <v>83079.882771613979</v>
      </c>
    </row>
    <row r="96" spans="1:28" s="44" customFormat="1" ht="15.75" thickBot="1" x14ac:dyDescent="0.3">
      <c r="B96" s="935"/>
      <c r="C96" s="515" t="str">
        <f>+'VENTAS 2019'!E96</f>
        <v>BUSCETTO</v>
      </c>
      <c r="D96" s="395">
        <f>+'VENTAS 2019'!F96</f>
        <v>43829</v>
      </c>
      <c r="E96" s="394" t="str">
        <f>+'VENTAS 2019'!H96</f>
        <v>12ºF</v>
      </c>
      <c r="F96" s="394" t="str">
        <f>+'VENTAS 2019'!J96</f>
        <v>BLUE</v>
      </c>
      <c r="G96" s="394" t="e">
        <f>+'VENTAS 2019'!#REF!</f>
        <v>#REF!</v>
      </c>
      <c r="H96" s="397">
        <f>+'VENTAS 2019'!K96</f>
        <v>60.13</v>
      </c>
      <c r="I96" s="527">
        <f t="shared" si="5"/>
        <v>66397.139240506323</v>
      </c>
      <c r="J96" s="527">
        <v>79</v>
      </c>
      <c r="K96" s="527">
        <f t="shared" si="6"/>
        <v>1104.2264965991405</v>
      </c>
      <c r="L96" s="398">
        <f>+'VENTAS 2019'!M96</f>
        <v>5245374</v>
      </c>
      <c r="M96" s="398">
        <f>+'VENTAS 2019'!N96</f>
        <v>87233.893231332113</v>
      </c>
      <c r="N96" s="49" t="s">
        <v>35</v>
      </c>
      <c r="O96" s="51">
        <f>SUM(L94:L96)</f>
        <v>29034643</v>
      </c>
      <c r="P96" s="48">
        <v>5775</v>
      </c>
      <c r="Q96" s="52">
        <f>+O96/P96</f>
        <v>5027.64380952381</v>
      </c>
    </row>
    <row r="97" spans="1:30" s="44" customFormat="1" x14ac:dyDescent="0.25">
      <c r="A97" s="41"/>
      <c r="B97" s="41"/>
      <c r="C97" s="41"/>
      <c r="D97" s="41"/>
      <c r="E97" s="41"/>
      <c r="F97" s="41"/>
      <c r="G97" s="41"/>
      <c r="H97" s="609">
        <f>SUM(H5:H96)</f>
        <v>4899.1099999999988</v>
      </c>
      <c r="I97" s="528">
        <f>SUM(I5:I96)</f>
        <v>4053383.7701735483</v>
      </c>
      <c r="J97" s="617"/>
      <c r="K97" s="529">
        <f>AVERAGE(K5:K96)</f>
        <v>887.50280128649285</v>
      </c>
      <c r="L97" s="8">
        <f>SUM(L5:L96)</f>
        <v>222354272.56593472</v>
      </c>
      <c r="M97" s="41"/>
      <c r="N97" s="50"/>
      <c r="O97" s="51">
        <f>SUM(O5:O96)</f>
        <v>222354272.56593463</v>
      </c>
      <c r="P97"/>
      <c r="Q97" s="53">
        <f>SUM(Q5:Q96)</f>
        <v>44004.418971371859</v>
      </c>
      <c r="R97"/>
      <c r="S97"/>
      <c r="T97"/>
      <c r="U97"/>
      <c r="V97"/>
      <c r="W97"/>
      <c r="X97"/>
    </row>
    <row r="98" spans="1:30" s="44" customFormat="1" x14ac:dyDescent="0.25">
      <c r="A98"/>
      <c r="B98"/>
      <c r="C98" s="55"/>
      <c r="D98" s="611"/>
      <c r="E98" s="54"/>
      <c r="M98" s="8"/>
      <c r="N98" s="50"/>
      <c r="O98" s="47">
        <f>+O97-L97</f>
        <v>0</v>
      </c>
      <c r="P98"/>
      <c r="Q98"/>
      <c r="R98"/>
      <c r="S98"/>
      <c r="T98"/>
      <c r="U98"/>
      <c r="V98"/>
      <c r="W98"/>
      <c r="X98"/>
    </row>
    <row r="99" spans="1:30" ht="30" x14ac:dyDescent="0.25">
      <c r="D99" s="519" t="s">
        <v>306</v>
      </c>
      <c r="E99" s="520" t="s">
        <v>307</v>
      </c>
      <c r="F99" s="520" t="s">
        <v>52</v>
      </c>
      <c r="H99" s="520" t="s">
        <v>308</v>
      </c>
      <c r="N99" s="41"/>
      <c r="X99" s="44"/>
      <c r="Y99" s="44"/>
      <c r="Z99" s="44"/>
      <c r="AA99" s="44"/>
      <c r="AB99" s="44"/>
      <c r="AC99" s="44"/>
      <c r="AD99" s="44"/>
    </row>
    <row r="100" spans="1:30" x14ac:dyDescent="0.25">
      <c r="A100" s="2"/>
      <c r="C100" s="518">
        <v>2019</v>
      </c>
      <c r="D100" s="517">
        <f>+H97</f>
        <v>4899.1099999999988</v>
      </c>
      <c r="E100" s="530">
        <f>+I97</f>
        <v>4053383.7701735483</v>
      </c>
      <c r="F100" s="531">
        <f>+L97</f>
        <v>222354272.56593472</v>
      </c>
      <c r="H100" s="532">
        <f>+Q97</f>
        <v>44004.418971371859</v>
      </c>
      <c r="X100" s="44"/>
      <c r="Y100" s="44"/>
      <c r="Z100" s="44"/>
      <c r="AA100" s="44"/>
      <c r="AB100" s="44"/>
      <c r="AC100" s="44"/>
      <c r="AD100" s="44"/>
    </row>
    <row r="101" spans="1:30" x14ac:dyDescent="0.25">
      <c r="C101" s="55"/>
      <c r="D101" s="612"/>
      <c r="E101" s="621" t="s">
        <v>401</v>
      </c>
      <c r="F101" s="44"/>
      <c r="G101" s="44"/>
      <c r="H101" s="44"/>
      <c r="X101" s="44"/>
      <c r="Y101" s="44"/>
      <c r="Z101" s="44"/>
      <c r="AA101" s="44"/>
      <c r="AB101" s="44"/>
      <c r="AC101" s="44"/>
      <c r="AD101" s="44"/>
    </row>
    <row r="102" spans="1:30" x14ac:dyDescent="0.25">
      <c r="C102" s="44"/>
      <c r="D102" s="610"/>
      <c r="E102" s="44"/>
      <c r="F102" s="44"/>
      <c r="G102" s="44"/>
      <c r="H102" s="44"/>
    </row>
    <row r="103" spans="1:30" x14ac:dyDescent="0.25">
      <c r="C103" s="44"/>
      <c r="D103" s="610"/>
      <c r="E103" s="44"/>
      <c r="F103" s="44"/>
      <c r="G103" s="44"/>
      <c r="H103" s="44"/>
    </row>
    <row r="1048425" spans="16:16" x14ac:dyDescent="0.25">
      <c r="P1048425" s="47"/>
    </row>
    <row r="1048426" spans="16:16" x14ac:dyDescent="0.25">
      <c r="P1048426" s="47"/>
    </row>
    <row r="1048427" spans="16:16" x14ac:dyDescent="0.25">
      <c r="P1048427" s="47"/>
    </row>
    <row r="1048428" spans="16:16" x14ac:dyDescent="0.25">
      <c r="P1048428" s="47"/>
    </row>
    <row r="1048429" spans="16:16" x14ac:dyDescent="0.25">
      <c r="P1048429" s="47"/>
    </row>
    <row r="1048430" spans="16:16" x14ac:dyDescent="0.25">
      <c r="P1048430" s="47"/>
    </row>
    <row r="1048431" spans="16:16" x14ac:dyDescent="0.25">
      <c r="P1048431" s="47"/>
    </row>
    <row r="1048432" spans="16:16" x14ac:dyDescent="0.25">
      <c r="P1048432" s="47"/>
    </row>
  </sheetData>
  <autoFilter ref="C4:Q100"/>
  <mergeCells count="12">
    <mergeCell ref="B25:B34"/>
    <mergeCell ref="N3:Q3"/>
    <mergeCell ref="B11:B13"/>
    <mergeCell ref="B5:B7"/>
    <mergeCell ref="B8:B10"/>
    <mergeCell ref="B14:B23"/>
    <mergeCell ref="B88:B93"/>
    <mergeCell ref="B94:B96"/>
    <mergeCell ref="B35:B42"/>
    <mergeCell ref="B43:B58"/>
    <mergeCell ref="B59:B84"/>
    <mergeCell ref="B85:B8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3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H152"/>
  <sheetViews>
    <sheetView showGridLines="0" topLeftCell="C22" zoomScale="91" zoomScaleNormal="91" workbookViewId="0">
      <selection activeCell="J32" sqref="J32"/>
    </sheetView>
  </sheetViews>
  <sheetFormatPr baseColWidth="10" defaultRowHeight="15" x14ac:dyDescent="0.25"/>
  <cols>
    <col min="1" max="1" width="0" hidden="1" customWidth="1"/>
    <col min="2" max="2" width="3.5703125" hidden="1" customWidth="1"/>
    <col min="3" max="3" width="4.28515625" customWidth="1"/>
    <col min="4" max="4" width="3.7109375" hidden="1" customWidth="1"/>
    <col min="5" max="5" width="18.85546875" customWidth="1"/>
    <col min="6" max="6" width="19.28515625" style="7" customWidth="1"/>
    <col min="7" max="7" width="15.5703125" style="7" bestFit="1" customWidth="1"/>
    <col min="8" max="8" width="19.28515625" customWidth="1"/>
    <col min="9" max="9" width="15.5703125" style="173" customWidth="1"/>
    <col min="10" max="10" width="19.28515625" bestFit="1" customWidth="1"/>
    <col min="11" max="11" width="15.85546875" bestFit="1" customWidth="1"/>
    <col min="12" max="12" width="15.85546875" customWidth="1"/>
    <col min="13" max="13" width="18" style="8" customWidth="1"/>
    <col min="14" max="14" width="17.7109375" style="8" customWidth="1"/>
    <col min="15" max="15" width="20.140625" style="8" bestFit="1" customWidth="1"/>
    <col min="16" max="16" width="15.5703125" style="372" customWidth="1"/>
    <col min="17" max="17" width="17.140625" style="8" hidden="1" customWidth="1"/>
    <col min="18" max="18" width="18" style="8" hidden="1" customWidth="1"/>
    <col min="19" max="19" width="14.5703125" style="8" hidden="1" customWidth="1"/>
    <col min="20" max="20" width="15.5703125" style="8" hidden="1" customWidth="1"/>
    <col min="21" max="21" width="14.5703125" style="8" hidden="1" customWidth="1"/>
    <col min="22" max="24" width="18" style="8" hidden="1" customWidth="1"/>
    <col min="25" max="25" width="16.85546875" style="8" hidden="1" customWidth="1"/>
    <col min="26" max="26" width="19.28515625" style="8" hidden="1" customWidth="1"/>
    <col min="27" max="29" width="18" style="8" hidden="1" customWidth="1"/>
    <col min="30" max="30" width="14.5703125" customWidth="1"/>
    <col min="31" max="31" width="83.5703125" bestFit="1" customWidth="1"/>
    <col min="32" max="32" width="11.42578125" customWidth="1"/>
    <col min="36" max="36" width="15.28515625" bestFit="1" customWidth="1"/>
  </cols>
  <sheetData>
    <row r="2" spans="2:31" ht="15.75" thickBot="1" x14ac:dyDescent="0.3">
      <c r="K2" s="7"/>
      <c r="L2" s="7"/>
    </row>
    <row r="3" spans="2:31" ht="15.75" thickBot="1" x14ac:dyDescent="0.3">
      <c r="B3" s="2"/>
      <c r="C3" s="16" t="s">
        <v>38</v>
      </c>
      <c r="D3" s="34"/>
      <c r="E3" s="15"/>
      <c r="F3" s="15"/>
      <c r="G3" s="15"/>
      <c r="H3" s="15"/>
      <c r="I3" s="15"/>
      <c r="J3" s="15"/>
      <c r="K3" s="15"/>
      <c r="L3" s="15"/>
      <c r="M3" s="15"/>
      <c r="N3" s="432"/>
      <c r="O3" s="15"/>
      <c r="P3" s="579"/>
      <c r="Q3" s="433" t="s">
        <v>5</v>
      </c>
      <c r="R3" s="433" t="s">
        <v>10</v>
      </c>
      <c r="S3" s="433" t="s">
        <v>11</v>
      </c>
      <c r="T3" s="433" t="s">
        <v>12</v>
      </c>
      <c r="U3" s="433" t="s">
        <v>15</v>
      </c>
      <c r="V3" s="433" t="s">
        <v>24</v>
      </c>
      <c r="W3" s="434" t="s">
        <v>29</v>
      </c>
      <c r="X3" s="434" t="s">
        <v>30</v>
      </c>
      <c r="Y3" s="433" t="s">
        <v>31</v>
      </c>
      <c r="Z3" s="433" t="s">
        <v>33</v>
      </c>
      <c r="AA3" s="433" t="s">
        <v>34</v>
      </c>
      <c r="AB3" s="434" t="s">
        <v>35</v>
      </c>
      <c r="AC3" s="434" t="s">
        <v>49</v>
      </c>
      <c r="AD3" s="11"/>
      <c r="AE3" s="11"/>
    </row>
    <row r="4" spans="2:31" ht="30.75" thickBot="1" x14ac:dyDescent="0.3">
      <c r="B4" s="2"/>
      <c r="C4" s="882" t="s">
        <v>5</v>
      </c>
      <c r="D4" s="649"/>
      <c r="E4" s="28" t="s">
        <v>0</v>
      </c>
      <c r="F4" s="27" t="s">
        <v>37</v>
      </c>
      <c r="G4" s="27"/>
      <c r="H4" s="28" t="s">
        <v>309</v>
      </c>
      <c r="I4" s="28" t="s">
        <v>310</v>
      </c>
      <c r="J4" s="29" t="s">
        <v>1</v>
      </c>
      <c r="K4" s="30" t="s">
        <v>27</v>
      </c>
      <c r="L4" s="30" t="s">
        <v>415</v>
      </c>
      <c r="M4" s="31" t="s">
        <v>57</v>
      </c>
      <c r="N4" s="31" t="s">
        <v>36</v>
      </c>
      <c r="O4" s="568" t="s">
        <v>374</v>
      </c>
      <c r="P4" s="373" t="s">
        <v>400</v>
      </c>
      <c r="Q4" s="31" t="s">
        <v>7</v>
      </c>
      <c r="R4" s="31" t="s">
        <v>7</v>
      </c>
      <c r="S4" s="31" t="s">
        <v>7</v>
      </c>
      <c r="T4" s="31" t="s">
        <v>7</v>
      </c>
      <c r="U4" s="31" t="s">
        <v>7</v>
      </c>
      <c r="V4" s="31" t="s">
        <v>7</v>
      </c>
      <c r="W4" s="31" t="s">
        <v>7</v>
      </c>
      <c r="X4" s="31" t="s">
        <v>7</v>
      </c>
      <c r="Y4" s="31" t="s">
        <v>39</v>
      </c>
      <c r="Z4" s="31" t="s">
        <v>39</v>
      </c>
      <c r="AA4" s="31" t="s">
        <v>39</v>
      </c>
      <c r="AB4" s="31" t="s">
        <v>39</v>
      </c>
      <c r="AC4" s="237" t="s">
        <v>39</v>
      </c>
      <c r="AD4" s="30" t="s">
        <v>311</v>
      </c>
      <c r="AE4" s="435" t="s">
        <v>28</v>
      </c>
    </row>
    <row r="5" spans="2:31" x14ac:dyDescent="0.25">
      <c r="B5" s="2"/>
      <c r="C5" s="883"/>
      <c r="D5" s="650"/>
      <c r="E5" s="182" t="s">
        <v>132</v>
      </c>
      <c r="F5" s="240">
        <v>43493</v>
      </c>
      <c r="G5" s="240" t="s">
        <v>312</v>
      </c>
      <c r="H5" s="182" t="s">
        <v>377</v>
      </c>
      <c r="I5" s="182" t="s">
        <v>54</v>
      </c>
      <c r="J5" s="155" t="s">
        <v>6</v>
      </c>
      <c r="K5" s="157">
        <v>71.959999999999994</v>
      </c>
      <c r="L5" s="157" t="s">
        <v>281</v>
      </c>
      <c r="M5" s="158">
        <v>2840566</v>
      </c>
      <c r="N5" s="158">
        <f>+M5/K5</f>
        <v>39474.235686492502</v>
      </c>
      <c r="O5" s="158">
        <v>2736691</v>
      </c>
      <c r="P5" s="580">
        <f>+(M5-O5)/O5</f>
        <v>3.7956422555560712E-2</v>
      </c>
      <c r="Q5" s="158">
        <v>67447</v>
      </c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254"/>
      <c r="AD5" s="420">
        <f t="shared" ref="AD5:AD34" si="0">SUM(Q5:AB5)</f>
        <v>67447</v>
      </c>
      <c r="AE5" s="421" t="s">
        <v>313</v>
      </c>
    </row>
    <row r="6" spans="2:31" x14ac:dyDescent="0.25">
      <c r="B6" s="2"/>
      <c r="C6" s="883"/>
      <c r="D6" s="650"/>
      <c r="E6" s="182" t="s">
        <v>134</v>
      </c>
      <c r="F6" s="240">
        <v>43487</v>
      </c>
      <c r="G6" s="240" t="s">
        <v>60</v>
      </c>
      <c r="H6" s="182" t="s">
        <v>376</v>
      </c>
      <c r="I6" s="182" t="s">
        <v>54</v>
      </c>
      <c r="J6" s="155" t="s">
        <v>6</v>
      </c>
      <c r="K6" s="157">
        <v>74.760000000000005</v>
      </c>
      <c r="L6" s="157" t="s">
        <v>280</v>
      </c>
      <c r="M6" s="158">
        <v>2600000</v>
      </c>
      <c r="N6" s="158">
        <f>+M6/K6</f>
        <v>34777.956126270728</v>
      </c>
      <c r="O6" s="158">
        <v>2900308</v>
      </c>
      <c r="P6" s="580">
        <f>+(M6-O6)/O6</f>
        <v>-0.10354348572634355</v>
      </c>
      <c r="Q6" s="158">
        <v>0</v>
      </c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417">
        <f t="shared" si="0"/>
        <v>0</v>
      </c>
      <c r="AE6" s="421" t="s">
        <v>314</v>
      </c>
    </row>
    <row r="7" spans="2:31" ht="15.75" thickBot="1" x14ac:dyDescent="0.3">
      <c r="B7" s="2"/>
      <c r="C7" s="884"/>
      <c r="D7" s="650"/>
      <c r="E7" s="185" t="s">
        <v>135</v>
      </c>
      <c r="F7" s="241">
        <v>43475</v>
      </c>
      <c r="G7" s="241" t="s">
        <v>312</v>
      </c>
      <c r="H7" s="185" t="s">
        <v>389</v>
      </c>
      <c r="I7" s="185" t="s">
        <v>54</v>
      </c>
      <c r="J7" s="242" t="s">
        <v>8</v>
      </c>
      <c r="K7" s="243">
        <v>41.53</v>
      </c>
      <c r="L7" s="243" t="s">
        <v>281</v>
      </c>
      <c r="M7" s="187">
        <v>1548030</v>
      </c>
      <c r="N7" s="187">
        <f>+M7/K7</f>
        <v>37274.981940765712</v>
      </c>
      <c r="O7" s="187">
        <v>1356793</v>
      </c>
      <c r="P7" s="585">
        <f>+(M7-O7)/O7</f>
        <v>0.14094780854559244</v>
      </c>
      <c r="Q7" s="187">
        <v>14468</v>
      </c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436">
        <f t="shared" si="0"/>
        <v>14468</v>
      </c>
      <c r="AE7" s="437" t="s">
        <v>315</v>
      </c>
    </row>
    <row r="8" spans="2:31" x14ac:dyDescent="0.25">
      <c r="B8" s="2"/>
      <c r="C8" s="882" t="s">
        <v>10</v>
      </c>
      <c r="D8" s="650"/>
      <c r="E8" s="438" t="s">
        <v>316</v>
      </c>
      <c r="F8" s="439">
        <v>43522</v>
      </c>
      <c r="G8" s="439" t="s">
        <v>312</v>
      </c>
      <c r="H8" s="438" t="s">
        <v>317</v>
      </c>
      <c r="I8" s="438" t="s">
        <v>55</v>
      </c>
      <c r="J8" s="440" t="s">
        <v>6</v>
      </c>
      <c r="K8" s="257">
        <v>22.14</v>
      </c>
      <c r="L8" s="257" t="s">
        <v>281</v>
      </c>
      <c r="M8" s="258">
        <v>690784</v>
      </c>
      <c r="N8" s="258"/>
      <c r="O8" s="258"/>
      <c r="P8" s="581" t="s">
        <v>279</v>
      </c>
      <c r="Q8" s="441"/>
      <c r="R8" s="258">
        <v>0</v>
      </c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442">
        <f t="shared" si="0"/>
        <v>0</v>
      </c>
      <c r="AE8" s="443" t="s">
        <v>318</v>
      </c>
    </row>
    <row r="9" spans="2:31" x14ac:dyDescent="0.25">
      <c r="B9" s="2"/>
      <c r="C9" s="883"/>
      <c r="D9" s="650"/>
      <c r="E9" s="245" t="s">
        <v>136</v>
      </c>
      <c r="F9" s="244">
        <v>43508</v>
      </c>
      <c r="G9" s="244" t="s">
        <v>312</v>
      </c>
      <c r="H9" s="245" t="s">
        <v>379</v>
      </c>
      <c r="I9" s="245" t="s">
        <v>54</v>
      </c>
      <c r="J9" s="246" t="s">
        <v>6</v>
      </c>
      <c r="K9" s="247">
        <v>71.959999999999994</v>
      </c>
      <c r="L9" s="247" t="s">
        <v>280</v>
      </c>
      <c r="M9" s="9">
        <v>2674000</v>
      </c>
      <c r="N9" s="9">
        <f t="shared" ref="N9:N26" si="1">+M9/K9</f>
        <v>37159.533073929968</v>
      </c>
      <c r="O9" s="9">
        <v>3021073</v>
      </c>
      <c r="P9" s="582">
        <f t="shared" ref="P9:P14" si="2">+(M9-O9)/O9</f>
        <v>-0.11488401637431468</v>
      </c>
      <c r="Q9" s="444"/>
      <c r="R9" s="9">
        <v>2674000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445">
        <f t="shared" si="0"/>
        <v>2674000</v>
      </c>
      <c r="AE9" s="446" t="s">
        <v>378</v>
      </c>
    </row>
    <row r="10" spans="2:31" ht="15.75" thickBot="1" x14ac:dyDescent="0.3">
      <c r="B10" s="2"/>
      <c r="C10" s="883"/>
      <c r="D10" s="650"/>
      <c r="E10" s="245" t="s">
        <v>137</v>
      </c>
      <c r="F10" s="244">
        <v>43508</v>
      </c>
      <c r="G10" s="244" t="s">
        <v>312</v>
      </c>
      <c r="H10" s="245" t="s">
        <v>380</v>
      </c>
      <c r="I10" s="245" t="s">
        <v>54</v>
      </c>
      <c r="J10" s="246" t="s">
        <v>6</v>
      </c>
      <c r="K10" s="247">
        <v>39.69</v>
      </c>
      <c r="L10" s="247" t="s">
        <v>280</v>
      </c>
      <c r="M10" s="9">
        <v>1528000</v>
      </c>
      <c r="N10" s="9">
        <f t="shared" si="1"/>
        <v>38498.36230788612</v>
      </c>
      <c r="O10" s="9">
        <v>1649176</v>
      </c>
      <c r="P10" s="582">
        <f t="shared" si="2"/>
        <v>-7.3476693815578198E-2</v>
      </c>
      <c r="Q10" s="444"/>
      <c r="R10" s="9">
        <v>1528000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445">
        <f t="shared" si="0"/>
        <v>1528000</v>
      </c>
      <c r="AE10" s="446" t="s">
        <v>279</v>
      </c>
    </row>
    <row r="11" spans="2:31" x14ac:dyDescent="0.25">
      <c r="B11" s="2"/>
      <c r="C11" s="926" t="s">
        <v>11</v>
      </c>
      <c r="D11" s="651"/>
      <c r="E11" s="251" t="s">
        <v>138</v>
      </c>
      <c r="F11" s="250">
        <v>43545</v>
      </c>
      <c r="G11" s="250" t="s">
        <v>312</v>
      </c>
      <c r="H11" s="251" t="s">
        <v>379</v>
      </c>
      <c r="I11" s="251" t="s">
        <v>54</v>
      </c>
      <c r="J11" s="252" t="s">
        <v>9</v>
      </c>
      <c r="K11" s="253">
        <v>52.35</v>
      </c>
      <c r="L11" s="253" t="s">
        <v>280</v>
      </c>
      <c r="M11" s="254">
        <v>1939568</v>
      </c>
      <c r="N11" s="254">
        <f t="shared" si="1"/>
        <v>37050.009551098374</v>
      </c>
      <c r="O11" s="254">
        <v>2048797</v>
      </c>
      <c r="P11" s="587">
        <f t="shared" si="2"/>
        <v>-5.3313725078668113E-2</v>
      </c>
      <c r="Q11" s="450"/>
      <c r="R11" s="254"/>
      <c r="S11" s="254">
        <v>0</v>
      </c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07">
        <f t="shared" si="0"/>
        <v>0</v>
      </c>
      <c r="AE11" s="451" t="s">
        <v>319</v>
      </c>
    </row>
    <row r="12" spans="2:31" x14ac:dyDescent="0.25">
      <c r="B12" s="2"/>
      <c r="C12" s="927"/>
      <c r="D12" s="651"/>
      <c r="E12" s="182" t="s">
        <v>138</v>
      </c>
      <c r="F12" s="240">
        <v>43545</v>
      </c>
      <c r="G12" s="240" t="s">
        <v>312</v>
      </c>
      <c r="H12" s="182" t="s">
        <v>277</v>
      </c>
      <c r="I12" s="182" t="s">
        <v>54</v>
      </c>
      <c r="J12" s="155" t="s">
        <v>9</v>
      </c>
      <c r="K12" s="157">
        <v>65.81</v>
      </c>
      <c r="L12" s="157" t="s">
        <v>280</v>
      </c>
      <c r="M12" s="158">
        <v>2412032</v>
      </c>
      <c r="N12" s="158">
        <f t="shared" si="1"/>
        <v>36651.451147242056</v>
      </c>
      <c r="O12" s="158">
        <v>2575575</v>
      </c>
      <c r="P12" s="580">
        <f t="shared" si="2"/>
        <v>-6.349766556982421E-2</v>
      </c>
      <c r="Q12" s="452"/>
      <c r="R12" s="158"/>
      <c r="S12" s="158">
        <v>0</v>
      </c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417">
        <f t="shared" si="0"/>
        <v>0</v>
      </c>
      <c r="AE12" s="421" t="s">
        <v>319</v>
      </c>
    </row>
    <row r="13" spans="2:31" ht="15.75" thickBot="1" x14ac:dyDescent="0.3">
      <c r="B13" s="2"/>
      <c r="C13" s="928"/>
      <c r="D13" s="651"/>
      <c r="E13" s="185" t="s">
        <v>139</v>
      </c>
      <c r="F13" s="241">
        <v>43532</v>
      </c>
      <c r="G13" s="241" t="s">
        <v>312</v>
      </c>
      <c r="H13" s="185" t="s">
        <v>390</v>
      </c>
      <c r="I13" s="185" t="s">
        <v>54</v>
      </c>
      <c r="J13" s="242" t="s">
        <v>9</v>
      </c>
      <c r="K13" s="243">
        <v>47.17</v>
      </c>
      <c r="L13" s="243" t="s">
        <v>281</v>
      </c>
      <c r="M13" s="187">
        <v>2180346</v>
      </c>
      <c r="N13" s="187">
        <f t="shared" si="1"/>
        <v>46223.15030739877</v>
      </c>
      <c r="O13" s="187">
        <v>1741842</v>
      </c>
      <c r="P13" s="585">
        <f t="shared" si="2"/>
        <v>0.25174728821557868</v>
      </c>
      <c r="Q13" s="453"/>
      <c r="R13" s="187"/>
      <c r="S13" s="187">
        <v>415000</v>
      </c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436">
        <f t="shared" si="0"/>
        <v>415000</v>
      </c>
      <c r="AE13" s="437" t="s">
        <v>320</v>
      </c>
    </row>
    <row r="14" spans="2:31" x14ac:dyDescent="0.25">
      <c r="B14" s="2"/>
      <c r="C14" s="926" t="s">
        <v>12</v>
      </c>
      <c r="D14" s="651"/>
      <c r="E14" s="286" t="s">
        <v>140</v>
      </c>
      <c r="F14" s="255">
        <v>43566</v>
      </c>
      <c r="G14" s="255" t="s">
        <v>312</v>
      </c>
      <c r="H14" s="256" t="s">
        <v>141</v>
      </c>
      <c r="I14" s="256" t="s">
        <v>54</v>
      </c>
      <c r="J14" s="220" t="s">
        <v>13</v>
      </c>
      <c r="K14" s="257">
        <v>459.95</v>
      </c>
      <c r="L14" s="257" t="s">
        <v>280</v>
      </c>
      <c r="M14" s="258">
        <v>16188000</v>
      </c>
      <c r="N14" s="258">
        <f t="shared" si="1"/>
        <v>35195.129905424503</v>
      </c>
      <c r="O14" s="258">
        <v>19173703</v>
      </c>
      <c r="P14" s="581">
        <f t="shared" si="2"/>
        <v>-0.15571864235093241</v>
      </c>
      <c r="Q14" s="441"/>
      <c r="R14" s="258"/>
      <c r="S14" s="258"/>
      <c r="T14" s="258">
        <f>60000*42.6</f>
        <v>2556000</v>
      </c>
      <c r="U14" s="258"/>
      <c r="V14" s="258"/>
      <c r="W14" s="258"/>
      <c r="X14" s="258"/>
      <c r="Y14" s="258"/>
      <c r="Z14" s="258"/>
      <c r="AA14" s="258"/>
      <c r="AB14" s="258"/>
      <c r="AC14" s="454"/>
      <c r="AD14" s="455">
        <f t="shared" si="0"/>
        <v>2556000</v>
      </c>
      <c r="AE14" s="443" t="s">
        <v>321</v>
      </c>
    </row>
    <row r="15" spans="2:31" x14ac:dyDescent="0.25">
      <c r="B15" s="2"/>
      <c r="C15" s="929"/>
      <c r="D15" s="651"/>
      <c r="E15" s="260" t="s">
        <v>140</v>
      </c>
      <c r="F15" s="259">
        <v>43566</v>
      </c>
      <c r="G15" s="272" t="s">
        <v>312</v>
      </c>
      <c r="H15" s="17" t="s">
        <v>322</v>
      </c>
      <c r="I15" s="17" t="s">
        <v>55</v>
      </c>
      <c r="J15" s="19" t="s">
        <v>13</v>
      </c>
      <c r="K15" s="20">
        <v>52</v>
      </c>
      <c r="L15" s="20" t="s">
        <v>281</v>
      </c>
      <c r="M15" s="21">
        <f>1218017/2</f>
        <v>609008.5</v>
      </c>
      <c r="N15" s="21"/>
      <c r="O15" s="21"/>
      <c r="P15" s="21" t="s">
        <v>279</v>
      </c>
      <c r="Q15" s="457"/>
      <c r="R15" s="21"/>
      <c r="S15" s="21"/>
      <c r="T15" s="21">
        <f>+M15</f>
        <v>609008.5</v>
      </c>
      <c r="U15" s="21"/>
      <c r="V15" s="21"/>
      <c r="W15" s="21"/>
      <c r="X15" s="21"/>
      <c r="Y15" s="21"/>
      <c r="Z15" s="21"/>
      <c r="AA15" s="21"/>
      <c r="AB15" s="21"/>
      <c r="AC15" s="9"/>
      <c r="AD15" s="445">
        <f t="shared" si="0"/>
        <v>609008.5</v>
      </c>
      <c r="AE15" s="458"/>
    </row>
    <row r="16" spans="2:31" x14ac:dyDescent="0.25">
      <c r="B16" s="2"/>
      <c r="C16" s="929"/>
      <c r="D16" s="651"/>
      <c r="E16" s="17" t="s">
        <v>140</v>
      </c>
      <c r="F16" s="456">
        <v>43566</v>
      </c>
      <c r="G16" s="456" t="s">
        <v>312</v>
      </c>
      <c r="H16" s="17" t="s">
        <v>323</v>
      </c>
      <c r="I16" s="17" t="s">
        <v>55</v>
      </c>
      <c r="J16" s="19" t="s">
        <v>13</v>
      </c>
      <c r="K16" s="20">
        <v>37.090000000000003</v>
      </c>
      <c r="L16" s="20" t="s">
        <v>281</v>
      </c>
      <c r="M16" s="21">
        <f>1218017/2</f>
        <v>609008.5</v>
      </c>
      <c r="N16" s="21"/>
      <c r="O16" s="21"/>
      <c r="P16" s="21" t="s">
        <v>279</v>
      </c>
      <c r="Q16" s="457"/>
      <c r="R16" s="21"/>
      <c r="S16" s="21"/>
      <c r="T16" s="21">
        <f>+M16</f>
        <v>609008.5</v>
      </c>
      <c r="U16" s="21"/>
      <c r="V16" s="21"/>
      <c r="W16" s="21"/>
      <c r="X16" s="21"/>
      <c r="Y16" s="21"/>
      <c r="Z16" s="21"/>
      <c r="AA16" s="21"/>
      <c r="AB16" s="21"/>
      <c r="AC16" s="21"/>
      <c r="AD16" s="445">
        <f t="shared" si="0"/>
        <v>609008.5</v>
      </c>
      <c r="AE16" s="458"/>
    </row>
    <row r="17" spans="2:34" x14ac:dyDescent="0.25">
      <c r="B17" s="2"/>
      <c r="C17" s="927"/>
      <c r="D17" s="651"/>
      <c r="E17" s="260" t="s">
        <v>142</v>
      </c>
      <c r="F17" s="259">
        <v>43558</v>
      </c>
      <c r="G17" s="259" t="s">
        <v>312</v>
      </c>
      <c r="H17" s="260" t="s">
        <v>143</v>
      </c>
      <c r="I17" s="260" t="s">
        <v>54</v>
      </c>
      <c r="J17" s="222" t="s">
        <v>133</v>
      </c>
      <c r="K17" s="247">
        <v>64.959999999999994</v>
      </c>
      <c r="L17" s="247" t="s">
        <v>280</v>
      </c>
      <c r="M17" s="9">
        <v>2663360</v>
      </c>
      <c r="N17" s="9">
        <f t="shared" si="1"/>
        <v>41000.000000000007</v>
      </c>
      <c r="O17" s="9">
        <v>2663360</v>
      </c>
      <c r="P17" s="9" t="s">
        <v>279</v>
      </c>
      <c r="Q17" s="444"/>
      <c r="R17" s="9"/>
      <c r="S17" s="9"/>
      <c r="T17" s="9">
        <v>2663360</v>
      </c>
      <c r="U17" s="9"/>
      <c r="V17" s="9"/>
      <c r="W17" s="9"/>
      <c r="X17" s="9"/>
      <c r="Y17" s="9"/>
      <c r="Z17" s="9"/>
      <c r="AA17" s="9"/>
      <c r="AB17" s="9"/>
      <c r="AC17" s="9"/>
      <c r="AD17" s="445">
        <f t="shared" si="0"/>
        <v>2663360</v>
      </c>
      <c r="AE17" s="446" t="s">
        <v>396</v>
      </c>
    </row>
    <row r="18" spans="2:34" x14ac:dyDescent="0.25">
      <c r="B18" s="2"/>
      <c r="C18" s="927"/>
      <c r="D18" s="651"/>
      <c r="E18" s="260" t="s">
        <v>144</v>
      </c>
      <c r="F18" s="259">
        <v>43573</v>
      </c>
      <c r="G18" s="259" t="s">
        <v>312</v>
      </c>
      <c r="H18" s="260" t="s">
        <v>145</v>
      </c>
      <c r="I18" s="260" t="s">
        <v>54</v>
      </c>
      <c r="J18" s="222" t="s">
        <v>14</v>
      </c>
      <c r="K18" s="247">
        <v>55.49</v>
      </c>
      <c r="L18" s="247" t="s">
        <v>280</v>
      </c>
      <c r="M18" s="9">
        <v>2200000</v>
      </c>
      <c r="N18" s="9">
        <f t="shared" si="1"/>
        <v>39646.783204180931</v>
      </c>
      <c r="O18" s="9">
        <v>2200000</v>
      </c>
      <c r="P18" s="582">
        <f t="shared" ref="P18:P26" si="3">+(M18-O18)/O18</f>
        <v>0</v>
      </c>
      <c r="Q18" s="444"/>
      <c r="R18" s="9"/>
      <c r="S18" s="9"/>
      <c r="T18" s="9">
        <v>2200000</v>
      </c>
      <c r="U18" s="9"/>
      <c r="V18" s="9"/>
      <c r="W18" s="9"/>
      <c r="X18" s="9"/>
      <c r="Y18" s="9"/>
      <c r="Z18" s="9"/>
      <c r="AA18" s="9"/>
      <c r="AB18" s="9"/>
      <c r="AC18" s="9"/>
      <c r="AD18" s="445">
        <f t="shared" si="0"/>
        <v>2200000</v>
      </c>
      <c r="AE18" s="446" t="s">
        <v>397</v>
      </c>
    </row>
    <row r="19" spans="2:34" x14ac:dyDescent="0.25">
      <c r="B19" s="2"/>
      <c r="C19" s="927"/>
      <c r="D19" s="651"/>
      <c r="E19" s="260" t="s">
        <v>146</v>
      </c>
      <c r="F19" s="259">
        <v>43573</v>
      </c>
      <c r="G19" s="259" t="s">
        <v>312</v>
      </c>
      <c r="H19" s="260" t="s">
        <v>147</v>
      </c>
      <c r="I19" s="260" t="s">
        <v>54</v>
      </c>
      <c r="J19" s="222" t="s">
        <v>14</v>
      </c>
      <c r="K19" s="247">
        <v>103.5</v>
      </c>
      <c r="L19" s="247" t="s">
        <v>280</v>
      </c>
      <c r="M19" s="9">
        <v>4423373</v>
      </c>
      <c r="N19" s="9">
        <f t="shared" si="1"/>
        <v>42737.903381642514</v>
      </c>
      <c r="O19" s="9">
        <v>4511427</v>
      </c>
      <c r="P19" s="582">
        <f t="shared" si="3"/>
        <v>-1.9517992865671994E-2</v>
      </c>
      <c r="Q19" s="444"/>
      <c r="R19" s="9"/>
      <c r="S19" s="9"/>
      <c r="T19" s="9">
        <v>1980900</v>
      </c>
      <c r="U19" s="9"/>
      <c r="V19" s="9"/>
      <c r="W19" s="9"/>
      <c r="X19" s="9"/>
      <c r="Y19" s="9"/>
      <c r="Z19" s="9"/>
      <c r="AA19" s="9"/>
      <c r="AB19" s="9"/>
      <c r="AC19" s="9"/>
      <c r="AD19" s="445">
        <f t="shared" si="0"/>
        <v>1980900</v>
      </c>
      <c r="AE19" s="446" t="s">
        <v>398</v>
      </c>
    </row>
    <row r="20" spans="2:34" x14ac:dyDescent="0.25">
      <c r="B20" s="2"/>
      <c r="C20" s="927"/>
      <c r="D20" s="651"/>
      <c r="E20" s="260" t="s">
        <v>148</v>
      </c>
      <c r="F20" s="259">
        <v>43558</v>
      </c>
      <c r="G20" s="259" t="s">
        <v>312</v>
      </c>
      <c r="H20" s="260" t="s">
        <v>381</v>
      </c>
      <c r="I20" s="260" t="s">
        <v>54</v>
      </c>
      <c r="J20" s="222" t="s">
        <v>6</v>
      </c>
      <c r="K20" s="247">
        <v>40.61</v>
      </c>
      <c r="L20" s="247" t="s">
        <v>280</v>
      </c>
      <c r="M20" s="9">
        <v>1665010</v>
      </c>
      <c r="N20" s="9">
        <f t="shared" si="1"/>
        <v>41000</v>
      </c>
      <c r="O20" s="9">
        <v>1687540</v>
      </c>
      <c r="P20" s="582">
        <f t="shared" si="3"/>
        <v>-1.335079464783057E-2</v>
      </c>
      <c r="Q20" s="444"/>
      <c r="R20" s="9"/>
      <c r="S20" s="9"/>
      <c r="T20" s="9">
        <v>0</v>
      </c>
      <c r="U20" s="9"/>
      <c r="V20" s="9"/>
      <c r="W20" s="9"/>
      <c r="X20" s="9"/>
      <c r="Y20" s="9"/>
      <c r="Z20" s="9"/>
      <c r="AA20" s="9"/>
      <c r="AB20" s="9"/>
      <c r="AC20" s="9"/>
      <c r="AD20" s="445">
        <f t="shared" si="0"/>
        <v>0</v>
      </c>
      <c r="AE20" s="446" t="s">
        <v>319</v>
      </c>
    </row>
    <row r="21" spans="2:34" x14ac:dyDescent="0.25">
      <c r="B21" s="2"/>
      <c r="C21" s="927"/>
      <c r="D21" s="651"/>
      <c r="E21" s="260" t="s">
        <v>148</v>
      </c>
      <c r="F21" s="259">
        <v>43558</v>
      </c>
      <c r="G21" s="259" t="s">
        <v>312</v>
      </c>
      <c r="H21" s="260" t="s">
        <v>358</v>
      </c>
      <c r="I21" s="260" t="s">
        <v>54</v>
      </c>
      <c r="J21" s="222" t="s">
        <v>6</v>
      </c>
      <c r="K21" s="247">
        <v>40.61</v>
      </c>
      <c r="L21" s="247" t="s">
        <v>280</v>
      </c>
      <c r="M21" s="9">
        <v>1665010</v>
      </c>
      <c r="N21" s="9">
        <f t="shared" si="1"/>
        <v>41000</v>
      </c>
      <c r="O21" s="9">
        <v>1687540</v>
      </c>
      <c r="P21" s="582">
        <f t="shared" si="3"/>
        <v>-1.335079464783057E-2</v>
      </c>
      <c r="Q21" s="444"/>
      <c r="R21" s="9"/>
      <c r="S21" s="9"/>
      <c r="T21" s="9">
        <v>900000</v>
      </c>
      <c r="U21" s="9"/>
      <c r="V21" s="9"/>
      <c r="W21" s="9"/>
      <c r="X21" s="9"/>
      <c r="Y21" s="9"/>
      <c r="Z21" s="9"/>
      <c r="AA21" s="9"/>
      <c r="AB21" s="9"/>
      <c r="AC21" s="9"/>
      <c r="AD21" s="445">
        <f t="shared" si="0"/>
        <v>900000</v>
      </c>
      <c r="AE21" s="446" t="s">
        <v>319</v>
      </c>
    </row>
    <row r="22" spans="2:34" x14ac:dyDescent="0.25">
      <c r="B22" s="2"/>
      <c r="C22" s="927"/>
      <c r="D22" s="651"/>
      <c r="E22" s="260" t="s">
        <v>149</v>
      </c>
      <c r="F22" s="259">
        <v>43585</v>
      </c>
      <c r="G22" s="259" t="s">
        <v>312</v>
      </c>
      <c r="H22" s="260" t="s">
        <v>391</v>
      </c>
      <c r="I22" s="260" t="s">
        <v>54</v>
      </c>
      <c r="J22" s="222" t="s">
        <v>6</v>
      </c>
      <c r="K22" s="247">
        <v>40.61</v>
      </c>
      <c r="L22" s="247"/>
      <c r="M22" s="9">
        <v>1743787</v>
      </c>
      <c r="N22" s="9">
        <f t="shared" si="1"/>
        <v>42939.842403348928</v>
      </c>
      <c r="O22" s="9">
        <v>1687540</v>
      </c>
      <c r="P22" s="582">
        <f t="shared" si="3"/>
        <v>3.333076549296609E-2</v>
      </c>
      <c r="Q22" s="444"/>
      <c r="R22" s="9"/>
      <c r="S22" s="9"/>
      <c r="T22" s="9">
        <v>750000</v>
      </c>
      <c r="U22" s="9"/>
      <c r="V22" s="9"/>
      <c r="W22" s="9"/>
      <c r="X22" s="9"/>
      <c r="Y22" s="9"/>
      <c r="Z22" s="9"/>
      <c r="AA22" s="9"/>
      <c r="AB22" s="9"/>
      <c r="AC22" s="9"/>
      <c r="AD22" s="445">
        <f t="shared" si="0"/>
        <v>750000</v>
      </c>
      <c r="AE22" s="446" t="s">
        <v>321</v>
      </c>
    </row>
    <row r="23" spans="2:34" ht="15.75" thickBot="1" x14ac:dyDescent="0.3">
      <c r="B23" s="2"/>
      <c r="C23" s="928"/>
      <c r="D23" s="651"/>
      <c r="E23" s="12" t="s">
        <v>149</v>
      </c>
      <c r="F23" s="261">
        <v>43585</v>
      </c>
      <c r="G23" s="261" t="s">
        <v>312</v>
      </c>
      <c r="H23" s="12" t="s">
        <v>392</v>
      </c>
      <c r="I23" s="12" t="s">
        <v>54</v>
      </c>
      <c r="J23" s="3" t="s">
        <v>6</v>
      </c>
      <c r="K23" s="248">
        <v>40.61</v>
      </c>
      <c r="L23" s="248"/>
      <c r="M23" s="249">
        <v>1743787</v>
      </c>
      <c r="N23" s="249">
        <f t="shared" si="1"/>
        <v>42939.842403348928</v>
      </c>
      <c r="O23" s="249">
        <v>1687540</v>
      </c>
      <c r="P23" s="583">
        <f t="shared" si="3"/>
        <v>3.333076549296609E-2</v>
      </c>
      <c r="Q23" s="447"/>
      <c r="R23" s="249"/>
      <c r="S23" s="249"/>
      <c r="T23" s="249">
        <v>750000</v>
      </c>
      <c r="U23" s="249"/>
      <c r="V23" s="249"/>
      <c r="W23" s="249"/>
      <c r="X23" s="249"/>
      <c r="Y23" s="249"/>
      <c r="Z23" s="249"/>
      <c r="AA23" s="249"/>
      <c r="AB23" s="249"/>
      <c r="AC23" s="249"/>
      <c r="AD23" s="448">
        <f t="shared" si="0"/>
        <v>750000</v>
      </c>
      <c r="AE23" s="449" t="s">
        <v>321</v>
      </c>
    </row>
    <row r="24" spans="2:34" ht="34.5" thickBot="1" x14ac:dyDescent="0.3">
      <c r="B24" s="2"/>
      <c r="C24" s="459" t="s">
        <v>15</v>
      </c>
      <c r="D24" s="651"/>
      <c r="E24" s="263" t="s">
        <v>151</v>
      </c>
      <c r="F24" s="262">
        <v>43591</v>
      </c>
      <c r="G24" s="262" t="s">
        <v>312</v>
      </c>
      <c r="H24" s="263" t="s">
        <v>376</v>
      </c>
      <c r="I24" s="263" t="s">
        <v>54</v>
      </c>
      <c r="J24" s="264" t="s">
        <v>8</v>
      </c>
      <c r="K24" s="265">
        <v>41.38</v>
      </c>
      <c r="L24" s="265" t="s">
        <v>281</v>
      </c>
      <c r="M24" s="266">
        <v>1421113</v>
      </c>
      <c r="N24" s="266">
        <f t="shared" si="1"/>
        <v>34342.991783470272</v>
      </c>
      <c r="O24" s="266">
        <v>1435550</v>
      </c>
      <c r="P24" s="584">
        <f t="shared" si="3"/>
        <v>-1.0056772665528891E-2</v>
      </c>
      <c r="Q24" s="460"/>
      <c r="R24" s="266"/>
      <c r="S24" s="266"/>
      <c r="T24" s="266"/>
      <c r="U24" s="266">
        <v>400000</v>
      </c>
      <c r="V24" s="266"/>
      <c r="W24" s="266"/>
      <c r="X24" s="266"/>
      <c r="Y24" s="266"/>
      <c r="Z24" s="266"/>
      <c r="AA24" s="266"/>
      <c r="AB24" s="266"/>
      <c r="AC24" s="266"/>
      <c r="AD24" s="461">
        <f t="shared" si="0"/>
        <v>400000</v>
      </c>
      <c r="AE24" s="462" t="s">
        <v>321</v>
      </c>
    </row>
    <row r="25" spans="2:34" x14ac:dyDescent="0.25">
      <c r="B25" s="4"/>
      <c r="C25" s="926" t="s">
        <v>24</v>
      </c>
      <c r="D25" s="651"/>
      <c r="E25" s="256" t="s">
        <v>152</v>
      </c>
      <c r="F25" s="267">
        <v>43623</v>
      </c>
      <c r="G25" s="267" t="s">
        <v>60</v>
      </c>
      <c r="H25" s="256" t="s">
        <v>393</v>
      </c>
      <c r="I25" s="256" t="s">
        <v>54</v>
      </c>
      <c r="J25" s="220" t="s">
        <v>6</v>
      </c>
      <c r="K25" s="257">
        <v>40.61</v>
      </c>
      <c r="L25" s="257" t="s">
        <v>280</v>
      </c>
      <c r="M25" s="258">
        <v>1660000</v>
      </c>
      <c r="N25" s="258">
        <f t="shared" si="1"/>
        <v>40876.631371583353</v>
      </c>
      <c r="O25" s="258">
        <v>1771998</v>
      </c>
      <c r="P25" s="581">
        <f t="shared" si="3"/>
        <v>-6.320436027580166E-2</v>
      </c>
      <c r="Q25" s="441"/>
      <c r="R25" s="258"/>
      <c r="S25" s="258"/>
      <c r="T25" s="258"/>
      <c r="U25" s="258"/>
      <c r="V25" s="258">
        <v>105291.05419081089</v>
      </c>
      <c r="W25" s="258"/>
      <c r="X25" s="258"/>
      <c r="Y25" s="258"/>
      <c r="Z25" s="258"/>
      <c r="AA25" s="258"/>
      <c r="AB25" s="258"/>
      <c r="AC25" s="258"/>
      <c r="AD25" s="442">
        <f t="shared" si="0"/>
        <v>105291.05419081089</v>
      </c>
      <c r="AE25" s="443" t="s">
        <v>314</v>
      </c>
    </row>
    <row r="26" spans="2:34" x14ac:dyDescent="0.25">
      <c r="B26" s="4"/>
      <c r="C26" s="927"/>
      <c r="D26" s="651"/>
      <c r="E26" s="260" t="s">
        <v>152</v>
      </c>
      <c r="F26" s="259">
        <v>43623</v>
      </c>
      <c r="G26" s="259" t="s">
        <v>60</v>
      </c>
      <c r="H26" s="260" t="s">
        <v>394</v>
      </c>
      <c r="I26" s="260" t="s">
        <v>54</v>
      </c>
      <c r="J26" s="222" t="s">
        <v>6</v>
      </c>
      <c r="K26" s="247">
        <v>40.61</v>
      </c>
      <c r="L26" s="247" t="s">
        <v>280</v>
      </c>
      <c r="M26" s="9">
        <v>1660000</v>
      </c>
      <c r="N26" s="9">
        <f t="shared" si="1"/>
        <v>40876.631371583353</v>
      </c>
      <c r="O26" s="9">
        <v>1771998</v>
      </c>
      <c r="P26" s="582">
        <f t="shared" si="3"/>
        <v>-6.320436027580166E-2</v>
      </c>
      <c r="Q26" s="444"/>
      <c r="R26" s="9"/>
      <c r="S26" s="9"/>
      <c r="T26" s="9"/>
      <c r="U26" s="9"/>
      <c r="V26" s="9">
        <v>105291.05419081089</v>
      </c>
      <c r="W26" s="9"/>
      <c r="X26" s="9"/>
      <c r="Y26" s="9"/>
      <c r="Z26" s="9"/>
      <c r="AA26" s="9"/>
      <c r="AB26" s="9"/>
      <c r="AC26" s="9"/>
      <c r="AD26" s="445">
        <f t="shared" si="0"/>
        <v>105291.05419081089</v>
      </c>
      <c r="AE26" s="446" t="s">
        <v>314</v>
      </c>
      <c r="AH26" s="463"/>
    </row>
    <row r="27" spans="2:34" x14ac:dyDescent="0.25">
      <c r="B27" s="4"/>
      <c r="C27" s="927"/>
      <c r="D27" s="651"/>
      <c r="E27" s="260" t="s">
        <v>152</v>
      </c>
      <c r="F27" s="259">
        <v>43623</v>
      </c>
      <c r="G27" s="259" t="s">
        <v>60</v>
      </c>
      <c r="H27" s="260" t="s">
        <v>317</v>
      </c>
      <c r="I27" s="260" t="s">
        <v>55</v>
      </c>
      <c r="J27" s="222" t="s">
        <v>6</v>
      </c>
      <c r="K27" s="247">
        <v>19.77</v>
      </c>
      <c r="L27" s="247" t="s">
        <v>280</v>
      </c>
      <c r="M27" s="9">
        <v>430000</v>
      </c>
      <c r="N27" s="9"/>
      <c r="O27" s="9"/>
      <c r="P27" s="582" t="s">
        <v>279</v>
      </c>
      <c r="Q27" s="444"/>
      <c r="R27" s="9"/>
      <c r="S27" s="9"/>
      <c r="T27" s="9"/>
      <c r="U27" s="9"/>
      <c r="V27" s="9">
        <v>339708.94580918911</v>
      </c>
      <c r="W27" s="9"/>
      <c r="X27" s="9"/>
      <c r="Y27" s="9"/>
      <c r="Z27" s="9"/>
      <c r="AA27" s="9"/>
      <c r="AB27" s="9"/>
      <c r="AC27" s="9"/>
      <c r="AD27" s="445">
        <f t="shared" si="0"/>
        <v>339708.94580918911</v>
      </c>
      <c r="AE27" s="446" t="s">
        <v>279</v>
      </c>
    </row>
    <row r="28" spans="2:34" x14ac:dyDescent="0.25">
      <c r="B28" s="4"/>
      <c r="C28" s="927"/>
      <c r="D28" s="651"/>
      <c r="E28" s="260" t="s">
        <v>152</v>
      </c>
      <c r="F28" s="259">
        <v>43623</v>
      </c>
      <c r="G28" s="259" t="s">
        <v>60</v>
      </c>
      <c r="H28" s="260" t="s">
        <v>317</v>
      </c>
      <c r="I28" s="260" t="s">
        <v>55</v>
      </c>
      <c r="J28" s="222" t="s">
        <v>6</v>
      </c>
      <c r="K28" s="247">
        <v>19.77</v>
      </c>
      <c r="L28" s="247" t="s">
        <v>280</v>
      </c>
      <c r="M28" s="9">
        <v>430000</v>
      </c>
      <c r="N28" s="9"/>
      <c r="O28" s="9"/>
      <c r="P28" s="582" t="s">
        <v>279</v>
      </c>
      <c r="Q28" s="444"/>
      <c r="R28" s="9"/>
      <c r="S28" s="9"/>
      <c r="T28" s="9"/>
      <c r="U28" s="9"/>
      <c r="V28" s="9">
        <v>339708.94580918911</v>
      </c>
      <c r="W28" s="9"/>
      <c r="X28" s="9"/>
      <c r="Y28" s="9"/>
      <c r="Z28" s="9"/>
      <c r="AA28" s="9"/>
      <c r="AB28" s="9"/>
      <c r="AC28" s="9"/>
      <c r="AD28" s="445">
        <f t="shared" si="0"/>
        <v>339708.94580918911</v>
      </c>
      <c r="AE28" s="446" t="s">
        <v>279</v>
      </c>
    </row>
    <row r="29" spans="2:34" x14ac:dyDescent="0.25">
      <c r="B29" s="4"/>
      <c r="C29" s="927"/>
      <c r="D29" s="651"/>
      <c r="E29" s="260" t="s">
        <v>153</v>
      </c>
      <c r="F29" s="259">
        <v>43637</v>
      </c>
      <c r="G29" s="259" t="s">
        <v>312</v>
      </c>
      <c r="H29" s="260" t="s">
        <v>154</v>
      </c>
      <c r="I29" s="260" t="s">
        <v>54</v>
      </c>
      <c r="J29" s="222" t="s">
        <v>4</v>
      </c>
      <c r="K29" s="247">
        <v>56.71</v>
      </c>
      <c r="L29" s="247" t="s">
        <v>281</v>
      </c>
      <c r="M29" s="9">
        <v>2100000</v>
      </c>
      <c r="N29" s="9">
        <f t="shared" ref="N29:N53" si="4">+M29/K29</f>
        <v>37030.506083583139</v>
      </c>
      <c r="O29" s="9">
        <v>2601683</v>
      </c>
      <c r="P29" s="582">
        <f t="shared" ref="P29:P57" si="5">+(M29-O29)/O29</f>
        <v>-0.19283017954147372</v>
      </c>
      <c r="Q29" s="444"/>
      <c r="R29" s="9"/>
      <c r="S29" s="9"/>
      <c r="T29" s="9"/>
      <c r="U29" s="9"/>
      <c r="V29" s="9">
        <v>892500</v>
      </c>
      <c r="W29" s="9">
        <f>2100000-V29</f>
        <v>1207500</v>
      </c>
      <c r="X29" s="9"/>
      <c r="Y29" s="9"/>
      <c r="Z29" s="9"/>
      <c r="AA29" s="9"/>
      <c r="AB29" s="9"/>
      <c r="AC29" s="9"/>
      <c r="AD29" s="445">
        <f t="shared" si="0"/>
        <v>2100000</v>
      </c>
      <c r="AE29" s="446" t="s">
        <v>387</v>
      </c>
    </row>
    <row r="30" spans="2:34" x14ac:dyDescent="0.25">
      <c r="B30" s="4"/>
      <c r="C30" s="927"/>
      <c r="D30" s="651"/>
      <c r="E30" s="260" t="s">
        <v>155</v>
      </c>
      <c r="F30" s="259">
        <v>43640</v>
      </c>
      <c r="G30" s="259" t="s">
        <v>312</v>
      </c>
      <c r="H30" s="260" t="s">
        <v>87</v>
      </c>
      <c r="I30" s="260" t="s">
        <v>54</v>
      </c>
      <c r="J30" s="222" t="s">
        <v>14</v>
      </c>
      <c r="K30" s="247">
        <v>55.49</v>
      </c>
      <c r="L30" s="247" t="s">
        <v>280</v>
      </c>
      <c r="M30" s="9">
        <v>2256500</v>
      </c>
      <c r="N30" s="9">
        <f t="shared" si="4"/>
        <v>40664.984681924667</v>
      </c>
      <c r="O30" s="9">
        <v>2250000</v>
      </c>
      <c r="P30" s="582">
        <f t="shared" si="5"/>
        <v>2.8888888888888888E-3</v>
      </c>
      <c r="Q30" s="444"/>
      <c r="R30" s="9"/>
      <c r="S30" s="9"/>
      <c r="T30" s="9"/>
      <c r="U30" s="9"/>
      <c r="V30" s="9">
        <v>2250000</v>
      </c>
      <c r="W30" s="9"/>
      <c r="X30" s="9"/>
      <c r="Y30" s="9"/>
      <c r="Z30" s="9"/>
      <c r="AA30" s="9"/>
      <c r="AB30" s="9"/>
      <c r="AC30" s="9"/>
      <c r="AD30" s="445">
        <f t="shared" si="0"/>
        <v>2250000</v>
      </c>
      <c r="AE30" s="446" t="s">
        <v>279</v>
      </c>
    </row>
    <row r="31" spans="2:34" x14ac:dyDescent="0.25">
      <c r="B31" s="4"/>
      <c r="C31" s="927"/>
      <c r="D31" s="651"/>
      <c r="E31" s="260" t="s">
        <v>156</v>
      </c>
      <c r="F31" s="259">
        <v>43643</v>
      </c>
      <c r="G31" s="259" t="s">
        <v>312</v>
      </c>
      <c r="H31" s="260" t="s">
        <v>157</v>
      </c>
      <c r="I31" s="260" t="s">
        <v>54</v>
      </c>
      <c r="J31" s="222" t="s">
        <v>14</v>
      </c>
      <c r="K31" s="247">
        <v>50.6</v>
      </c>
      <c r="L31" s="247" t="s">
        <v>280</v>
      </c>
      <c r="M31" s="9">
        <v>2170000</v>
      </c>
      <c r="N31" s="9">
        <f t="shared" si="4"/>
        <v>42885.375494071144</v>
      </c>
      <c r="O31" s="9">
        <v>2170000</v>
      </c>
      <c r="P31" s="582">
        <f t="shared" si="5"/>
        <v>0</v>
      </c>
      <c r="Q31" s="444"/>
      <c r="R31" s="9"/>
      <c r="S31" s="9"/>
      <c r="T31" s="9"/>
      <c r="U31" s="9"/>
      <c r="V31" s="9">
        <v>170000</v>
      </c>
      <c r="W31" s="9">
        <v>2000000</v>
      </c>
      <c r="X31" s="9"/>
      <c r="Y31" s="9"/>
      <c r="Z31" s="9"/>
      <c r="AA31" s="9"/>
      <c r="AB31" s="9"/>
      <c r="AC31" s="9"/>
      <c r="AD31" s="445">
        <f t="shared" si="0"/>
        <v>2170000</v>
      </c>
      <c r="AE31" s="446" t="s">
        <v>324</v>
      </c>
    </row>
    <row r="32" spans="2:34" x14ac:dyDescent="0.25">
      <c r="B32" s="4"/>
      <c r="C32" s="927"/>
      <c r="D32" s="651"/>
      <c r="E32" s="260" t="s">
        <v>158</v>
      </c>
      <c r="F32" s="259">
        <v>43644</v>
      </c>
      <c r="G32" s="259" t="s">
        <v>312</v>
      </c>
      <c r="H32" s="260" t="s">
        <v>159</v>
      </c>
      <c r="I32" s="260" t="s">
        <v>54</v>
      </c>
      <c r="J32" s="222" t="s">
        <v>6</v>
      </c>
      <c r="K32" s="247">
        <v>37.17</v>
      </c>
      <c r="L32" s="247" t="s">
        <v>280</v>
      </c>
      <c r="M32" s="9">
        <v>1410000</v>
      </c>
      <c r="N32" s="9">
        <f t="shared" si="4"/>
        <v>37933.817594834545</v>
      </c>
      <c r="O32" s="9">
        <v>1670496</v>
      </c>
      <c r="P32" s="582">
        <f t="shared" si="5"/>
        <v>-0.15593931383253837</v>
      </c>
      <c r="Q32" s="444"/>
      <c r="R32" s="9"/>
      <c r="S32" s="9"/>
      <c r="T32" s="9"/>
      <c r="U32" s="9"/>
      <c r="V32" s="9">
        <v>1410000</v>
      </c>
      <c r="W32" s="9"/>
      <c r="X32" s="9"/>
      <c r="Y32" s="9"/>
      <c r="Z32" s="9"/>
      <c r="AA32" s="9"/>
      <c r="AB32" s="9"/>
      <c r="AC32" s="9"/>
      <c r="AD32" s="445">
        <f t="shared" si="0"/>
        <v>1410000</v>
      </c>
      <c r="AE32" s="446" t="s">
        <v>382</v>
      </c>
    </row>
    <row r="33" spans="2:31" x14ac:dyDescent="0.25">
      <c r="B33" s="4"/>
      <c r="C33" s="927"/>
      <c r="D33" s="651"/>
      <c r="E33" s="260" t="s">
        <v>158</v>
      </c>
      <c r="F33" s="259">
        <v>43644</v>
      </c>
      <c r="G33" s="259" t="s">
        <v>312</v>
      </c>
      <c r="H33" s="260" t="s">
        <v>160</v>
      </c>
      <c r="I33" s="260" t="s">
        <v>54</v>
      </c>
      <c r="J33" s="222" t="s">
        <v>6</v>
      </c>
      <c r="K33" s="247">
        <v>37.17</v>
      </c>
      <c r="L33" s="247" t="s">
        <v>280</v>
      </c>
      <c r="M33" s="9">
        <v>1410000</v>
      </c>
      <c r="N33" s="9">
        <f t="shared" si="4"/>
        <v>37933.817594834545</v>
      </c>
      <c r="O33" s="9">
        <v>1670496</v>
      </c>
      <c r="P33" s="582">
        <f t="shared" si="5"/>
        <v>-0.15593931383253837</v>
      </c>
      <c r="Q33" s="444"/>
      <c r="R33" s="9"/>
      <c r="S33" s="9"/>
      <c r="T33" s="9"/>
      <c r="U33" s="9"/>
      <c r="V33" s="9">
        <v>1410000</v>
      </c>
      <c r="W33" s="9"/>
      <c r="X33" s="9"/>
      <c r="Y33" s="9"/>
      <c r="Z33" s="9"/>
      <c r="AA33" s="9"/>
      <c r="AB33" s="9"/>
      <c r="AC33" s="9"/>
      <c r="AD33" s="445">
        <f t="shared" si="0"/>
        <v>1410000</v>
      </c>
      <c r="AE33" s="446" t="s">
        <v>382</v>
      </c>
    </row>
    <row r="34" spans="2:31" ht="15.75" thickBot="1" x14ac:dyDescent="0.3">
      <c r="B34" s="4"/>
      <c r="C34" s="928"/>
      <c r="D34" s="651"/>
      <c r="E34" s="12" t="s">
        <v>158</v>
      </c>
      <c r="F34" s="261">
        <v>43644</v>
      </c>
      <c r="G34" s="261" t="s">
        <v>312</v>
      </c>
      <c r="H34" s="12" t="s">
        <v>161</v>
      </c>
      <c r="I34" s="12" t="s">
        <v>54</v>
      </c>
      <c r="J34" s="3" t="s">
        <v>6</v>
      </c>
      <c r="K34" s="248">
        <v>37.17</v>
      </c>
      <c r="L34" s="248" t="s">
        <v>280</v>
      </c>
      <c r="M34" s="249">
        <v>1410000</v>
      </c>
      <c r="N34" s="249">
        <f t="shared" si="4"/>
        <v>37933.817594834545</v>
      </c>
      <c r="O34" s="249">
        <v>1670496</v>
      </c>
      <c r="P34" s="583">
        <f t="shared" si="5"/>
        <v>-0.15593931383253837</v>
      </c>
      <c r="Q34" s="447"/>
      <c r="R34" s="249"/>
      <c r="S34" s="249"/>
      <c r="T34" s="249"/>
      <c r="U34" s="249"/>
      <c r="V34" s="249">
        <v>1410000</v>
      </c>
      <c r="W34" s="249"/>
      <c r="X34" s="249"/>
      <c r="Y34" s="249"/>
      <c r="Z34" s="249"/>
      <c r="AA34" s="249"/>
      <c r="AB34" s="249"/>
      <c r="AC34" s="249"/>
      <c r="AD34" s="448">
        <f t="shared" si="0"/>
        <v>1410000</v>
      </c>
      <c r="AE34" s="449" t="s">
        <v>382</v>
      </c>
    </row>
    <row r="35" spans="2:31" x14ac:dyDescent="0.25">
      <c r="B35" s="4"/>
      <c r="C35" s="870" t="s">
        <v>29</v>
      </c>
      <c r="D35" s="651"/>
      <c r="E35" s="263" t="s">
        <v>153</v>
      </c>
      <c r="F35" s="262">
        <v>43664</v>
      </c>
      <c r="G35" s="262" t="s">
        <v>312</v>
      </c>
      <c r="H35" s="263" t="s">
        <v>162</v>
      </c>
      <c r="I35" s="263" t="s">
        <v>54</v>
      </c>
      <c r="J35" s="264" t="s">
        <v>6</v>
      </c>
      <c r="K35" s="265">
        <v>40.86</v>
      </c>
      <c r="L35" s="265" t="s">
        <v>281</v>
      </c>
      <c r="M35" s="266">
        <v>1469614.8148148148</v>
      </c>
      <c r="N35" s="266">
        <f t="shared" si="4"/>
        <v>35967.07818930041</v>
      </c>
      <c r="O35" s="266">
        <v>1782905</v>
      </c>
      <c r="P35" s="584">
        <f t="shared" si="5"/>
        <v>-0.1757189447475806</v>
      </c>
      <c r="Q35" s="460"/>
      <c r="R35" s="266"/>
      <c r="S35" s="266"/>
      <c r="T35" s="266"/>
      <c r="U35" s="266"/>
      <c r="V35" s="266"/>
      <c r="W35" s="266">
        <v>306169.75308641978</v>
      </c>
      <c r="X35" s="266"/>
      <c r="Y35" s="266">
        <v>581722.53086419753</v>
      </c>
      <c r="Z35" s="266">
        <v>581722.53086419753</v>
      </c>
      <c r="AA35" s="266"/>
      <c r="AB35" s="266"/>
      <c r="AC35" s="266"/>
      <c r="AD35" s="461">
        <f t="shared" ref="AD35:AD66" si="6">SUM(Q35:AB35)</f>
        <v>1469614.8148148148</v>
      </c>
      <c r="AE35" s="462" t="s">
        <v>383</v>
      </c>
    </row>
    <row r="36" spans="2:31" x14ac:dyDescent="0.25">
      <c r="B36" s="4"/>
      <c r="C36" s="930"/>
      <c r="D36" s="268"/>
      <c r="E36" s="185" t="s">
        <v>153</v>
      </c>
      <c r="F36" s="241">
        <v>43664</v>
      </c>
      <c r="G36" s="241" t="s">
        <v>312</v>
      </c>
      <c r="H36" s="185" t="s">
        <v>163</v>
      </c>
      <c r="I36" s="185" t="s">
        <v>54</v>
      </c>
      <c r="J36" s="242" t="s">
        <v>6</v>
      </c>
      <c r="K36" s="243">
        <v>46.62</v>
      </c>
      <c r="L36" s="243" t="s">
        <v>281</v>
      </c>
      <c r="M36" s="187">
        <v>1676785.1851851854</v>
      </c>
      <c r="N36" s="187">
        <f t="shared" si="4"/>
        <v>35967.078189300417</v>
      </c>
      <c r="O36" s="187">
        <v>1937285</v>
      </c>
      <c r="P36" s="585">
        <f t="shared" si="5"/>
        <v>-0.13446643876085068</v>
      </c>
      <c r="Q36" s="453"/>
      <c r="R36" s="187"/>
      <c r="S36" s="187"/>
      <c r="T36" s="187"/>
      <c r="U36" s="187"/>
      <c r="V36" s="187"/>
      <c r="W36" s="187">
        <v>349330.24691358028</v>
      </c>
      <c r="X36" s="187"/>
      <c r="Y36" s="187">
        <v>663727.46913580259</v>
      </c>
      <c r="Z36" s="187">
        <v>663727.46913580259</v>
      </c>
      <c r="AA36" s="187"/>
      <c r="AB36" s="187"/>
      <c r="AC36" s="187"/>
      <c r="AD36" s="436">
        <f t="shared" si="6"/>
        <v>1676785.1851851856</v>
      </c>
      <c r="AE36" s="437" t="s">
        <v>383</v>
      </c>
    </row>
    <row r="37" spans="2:31" x14ac:dyDescent="0.25">
      <c r="B37" s="4"/>
      <c r="C37" s="930"/>
      <c r="D37" s="268"/>
      <c r="E37" s="182" t="s">
        <v>156</v>
      </c>
      <c r="F37" s="156">
        <v>43668</v>
      </c>
      <c r="G37" s="156" t="s">
        <v>312</v>
      </c>
      <c r="H37" s="155" t="s">
        <v>164</v>
      </c>
      <c r="I37" s="155" t="s">
        <v>54</v>
      </c>
      <c r="J37" s="155" t="s">
        <v>14</v>
      </c>
      <c r="K37" s="157">
        <v>63.09</v>
      </c>
      <c r="L37" s="157" t="s">
        <v>280</v>
      </c>
      <c r="M37" s="158">
        <v>2695458</v>
      </c>
      <c r="N37" s="158">
        <f t="shared" si="4"/>
        <v>42724.013314312884</v>
      </c>
      <c r="O37" s="158">
        <v>2695458</v>
      </c>
      <c r="P37" s="580">
        <f t="shared" si="5"/>
        <v>0</v>
      </c>
      <c r="Q37" s="452"/>
      <c r="R37" s="158"/>
      <c r="S37" s="158"/>
      <c r="T37" s="158"/>
      <c r="U37" s="158"/>
      <c r="V37" s="158"/>
      <c r="W37" s="158">
        <v>2695000</v>
      </c>
      <c r="X37" s="158"/>
      <c r="Y37" s="158"/>
      <c r="Z37" s="158"/>
      <c r="AA37" s="158"/>
      <c r="AB37" s="158"/>
      <c r="AC37" s="158"/>
      <c r="AD37" s="417">
        <f t="shared" si="6"/>
        <v>2695000</v>
      </c>
      <c r="AE37" s="421"/>
    </row>
    <row r="38" spans="2:31" x14ac:dyDescent="0.25">
      <c r="B38" s="4"/>
      <c r="C38" s="930"/>
      <c r="D38" s="268"/>
      <c r="E38" s="182" t="s">
        <v>165</v>
      </c>
      <c r="F38" s="156">
        <v>43662</v>
      </c>
      <c r="G38" s="156" t="s">
        <v>312</v>
      </c>
      <c r="H38" s="155" t="s">
        <v>166</v>
      </c>
      <c r="I38" s="155" t="s">
        <v>54</v>
      </c>
      <c r="J38" s="155" t="s">
        <v>14</v>
      </c>
      <c r="K38" s="157">
        <v>55.49</v>
      </c>
      <c r="L38" s="157" t="s">
        <v>280</v>
      </c>
      <c r="M38" s="158">
        <v>2372841.1800000002</v>
      </c>
      <c r="N38" s="158">
        <f t="shared" si="4"/>
        <v>42761.59992791494</v>
      </c>
      <c r="O38" s="158">
        <v>2579160</v>
      </c>
      <c r="P38" s="580">
        <f t="shared" si="5"/>
        <v>-7.9994579630577337E-2</v>
      </c>
      <c r="Q38" s="452"/>
      <c r="R38" s="158"/>
      <c r="S38" s="158"/>
      <c r="T38" s="158"/>
      <c r="U38" s="158"/>
      <c r="V38" s="158"/>
      <c r="W38" s="158">
        <f>+M38</f>
        <v>2372841.1800000002</v>
      </c>
      <c r="X38" s="158"/>
      <c r="Y38" s="158"/>
      <c r="Z38" s="158"/>
      <c r="AA38" s="158"/>
      <c r="AB38" s="158"/>
      <c r="AC38" s="158"/>
      <c r="AD38" s="417">
        <f t="shared" si="6"/>
        <v>2372841.1800000002</v>
      </c>
      <c r="AE38" s="421"/>
    </row>
    <row r="39" spans="2:31" x14ac:dyDescent="0.25">
      <c r="B39" s="4"/>
      <c r="C39" s="930"/>
      <c r="D39" s="268"/>
      <c r="E39" s="182" t="s">
        <v>165</v>
      </c>
      <c r="F39" s="156">
        <v>43662</v>
      </c>
      <c r="G39" s="156" t="s">
        <v>312</v>
      </c>
      <c r="H39" s="155" t="s">
        <v>82</v>
      </c>
      <c r="I39" s="155" t="s">
        <v>54</v>
      </c>
      <c r="J39" s="155" t="s">
        <v>14</v>
      </c>
      <c r="K39" s="157">
        <v>53.03</v>
      </c>
      <c r="L39" s="157" t="s">
        <v>280</v>
      </c>
      <c r="M39" s="158">
        <v>2233398.75</v>
      </c>
      <c r="N39" s="158">
        <f t="shared" si="4"/>
        <v>42115.759947199695</v>
      </c>
      <c r="O39" s="158">
        <v>2427617</v>
      </c>
      <c r="P39" s="580">
        <f t="shared" si="5"/>
        <v>-8.0003662027412062E-2</v>
      </c>
      <c r="Q39" s="452"/>
      <c r="R39" s="158"/>
      <c r="S39" s="158"/>
      <c r="T39" s="158"/>
      <c r="U39" s="158"/>
      <c r="V39" s="158"/>
      <c r="W39" s="158">
        <f>+M39</f>
        <v>2233398.75</v>
      </c>
      <c r="X39" s="158"/>
      <c r="Y39" s="158"/>
      <c r="Z39" s="158"/>
      <c r="AA39" s="158"/>
      <c r="AB39" s="158"/>
      <c r="AC39" s="158"/>
      <c r="AD39" s="417">
        <f t="shared" si="6"/>
        <v>2233398.75</v>
      </c>
      <c r="AE39" s="421"/>
    </row>
    <row r="40" spans="2:31" x14ac:dyDescent="0.25">
      <c r="B40" s="4"/>
      <c r="C40" s="930"/>
      <c r="D40" s="268"/>
      <c r="E40" s="182" t="s">
        <v>165</v>
      </c>
      <c r="F40" s="156">
        <v>43662</v>
      </c>
      <c r="G40" s="156" t="s">
        <v>312</v>
      </c>
      <c r="H40" s="155" t="s">
        <v>75</v>
      </c>
      <c r="I40" s="155" t="s">
        <v>54</v>
      </c>
      <c r="J40" s="155" t="s">
        <v>14</v>
      </c>
      <c r="K40" s="157">
        <v>55.49</v>
      </c>
      <c r="L40" s="157" t="s">
        <v>280</v>
      </c>
      <c r="M40" s="158">
        <v>2372841.1800000002</v>
      </c>
      <c r="N40" s="158">
        <f t="shared" si="4"/>
        <v>42761.59992791494</v>
      </c>
      <c r="O40" s="158">
        <v>2579160</v>
      </c>
      <c r="P40" s="580">
        <f t="shared" si="5"/>
        <v>-7.9994579630577337E-2</v>
      </c>
      <c r="Q40" s="452"/>
      <c r="R40" s="158"/>
      <c r="S40" s="158"/>
      <c r="T40" s="158"/>
      <c r="U40" s="158"/>
      <c r="V40" s="158"/>
      <c r="W40" s="158">
        <f>+M40</f>
        <v>2372841.1800000002</v>
      </c>
      <c r="X40" s="158"/>
      <c r="Y40" s="158"/>
      <c r="Z40" s="158"/>
      <c r="AA40" s="158"/>
      <c r="AB40" s="158"/>
      <c r="AC40" s="158"/>
      <c r="AD40" s="417">
        <f t="shared" si="6"/>
        <v>2372841.1800000002</v>
      </c>
      <c r="AE40" s="421"/>
    </row>
    <row r="41" spans="2:31" x14ac:dyDescent="0.25">
      <c r="B41" s="4"/>
      <c r="C41" s="930"/>
      <c r="D41" s="268"/>
      <c r="E41" s="185" t="s">
        <v>167</v>
      </c>
      <c r="F41" s="269">
        <v>43665</v>
      </c>
      <c r="G41" s="269" t="s">
        <v>60</v>
      </c>
      <c r="H41" s="242" t="s">
        <v>388</v>
      </c>
      <c r="I41" s="242" t="s">
        <v>54</v>
      </c>
      <c r="J41" s="242" t="s">
        <v>4</v>
      </c>
      <c r="K41" s="243">
        <v>47.77</v>
      </c>
      <c r="L41" s="243" t="s">
        <v>280</v>
      </c>
      <c r="M41" s="187">
        <v>2123347</v>
      </c>
      <c r="N41" s="187">
        <f t="shared" si="4"/>
        <v>44449.382457609376</v>
      </c>
      <c r="O41" s="187">
        <v>2191543</v>
      </c>
      <c r="P41" s="585">
        <f t="shared" si="5"/>
        <v>-3.1117801475946401E-2</v>
      </c>
      <c r="Q41" s="453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417">
        <f>SUM(Q41:AB41)</f>
        <v>0</v>
      </c>
      <c r="AE41" s="437" t="s">
        <v>314</v>
      </c>
    </row>
    <row r="42" spans="2:31" ht="15.75" thickBot="1" x14ac:dyDescent="0.3">
      <c r="B42" s="4"/>
      <c r="C42" s="931"/>
      <c r="D42" s="268"/>
      <c r="E42" s="185" t="s">
        <v>168</v>
      </c>
      <c r="F42" s="269">
        <v>43669</v>
      </c>
      <c r="G42" s="269" t="s">
        <v>312</v>
      </c>
      <c r="H42" s="242" t="s">
        <v>169</v>
      </c>
      <c r="I42" s="242" t="s">
        <v>54</v>
      </c>
      <c r="J42" s="242" t="s">
        <v>6</v>
      </c>
      <c r="K42" s="243">
        <v>40.86</v>
      </c>
      <c r="L42" s="243" t="s">
        <v>281</v>
      </c>
      <c r="M42" s="187">
        <v>1954691</v>
      </c>
      <c r="N42" s="187">
        <f t="shared" si="4"/>
        <v>47838.742046010768</v>
      </c>
      <c r="O42" s="187">
        <v>1782905</v>
      </c>
      <c r="P42" s="585">
        <f t="shared" si="5"/>
        <v>9.6351740558246232E-2</v>
      </c>
      <c r="Q42" s="453"/>
      <c r="R42" s="187"/>
      <c r="S42" s="187"/>
      <c r="T42" s="187"/>
      <c r="U42" s="187"/>
      <c r="V42" s="187"/>
      <c r="W42" s="187">
        <v>10000</v>
      </c>
      <c r="X42" s="187">
        <v>750000</v>
      </c>
      <c r="Y42" s="187"/>
      <c r="Z42" s="187"/>
      <c r="AA42" s="187"/>
      <c r="AB42" s="187"/>
      <c r="AC42" s="187"/>
      <c r="AD42" s="436">
        <f t="shared" si="6"/>
        <v>760000</v>
      </c>
      <c r="AE42" s="437" t="s">
        <v>325</v>
      </c>
    </row>
    <row r="43" spans="2:31" x14ac:dyDescent="0.25">
      <c r="B43" s="4"/>
      <c r="C43" s="870" t="s">
        <v>30</v>
      </c>
      <c r="D43" s="651" t="s">
        <v>43</v>
      </c>
      <c r="E43" s="624" t="s">
        <v>170</v>
      </c>
      <c r="F43" s="270">
        <v>43678</v>
      </c>
      <c r="G43" s="270" t="s">
        <v>312</v>
      </c>
      <c r="H43" s="220" t="s">
        <v>171</v>
      </c>
      <c r="I43" s="220" t="s">
        <v>54</v>
      </c>
      <c r="J43" s="220" t="s">
        <v>6</v>
      </c>
      <c r="K43" s="257">
        <v>40.86</v>
      </c>
      <c r="L43" s="257" t="s">
        <v>280</v>
      </c>
      <c r="M43" s="258">
        <f>34000*46</f>
        <v>1564000</v>
      </c>
      <c r="N43" s="258">
        <f>+M43/K43</f>
        <v>38277.043563387175</v>
      </c>
      <c r="O43" s="258">
        <v>1861022</v>
      </c>
      <c r="P43" s="581">
        <f t="shared" si="5"/>
        <v>-0.15960155226536818</v>
      </c>
      <c r="Q43" s="441"/>
      <c r="R43" s="258"/>
      <c r="S43" s="258"/>
      <c r="T43" s="258"/>
      <c r="U43" s="258"/>
      <c r="V43" s="258"/>
      <c r="W43" s="258"/>
      <c r="X43" s="258">
        <f>+M43</f>
        <v>1564000</v>
      </c>
      <c r="Y43" s="258"/>
      <c r="Z43" s="258"/>
      <c r="AA43" s="258"/>
      <c r="AB43" s="258"/>
      <c r="AC43" s="258"/>
      <c r="AD43" s="442">
        <f t="shared" si="6"/>
        <v>1564000</v>
      </c>
      <c r="AE43" s="443" t="s">
        <v>384</v>
      </c>
    </row>
    <row r="44" spans="2:31" x14ac:dyDescent="0.25">
      <c r="B44" s="4"/>
      <c r="C44" s="871"/>
      <c r="D44" s="651" t="s">
        <v>43</v>
      </c>
      <c r="E44" s="625" t="s">
        <v>170</v>
      </c>
      <c r="F44" s="272">
        <v>43678</v>
      </c>
      <c r="G44" s="272" t="s">
        <v>312</v>
      </c>
      <c r="H44" s="222" t="s">
        <v>172</v>
      </c>
      <c r="I44" s="222" t="s">
        <v>54</v>
      </c>
      <c r="J44" s="222" t="s">
        <v>6</v>
      </c>
      <c r="K44" s="247">
        <v>40.44</v>
      </c>
      <c r="L44" s="247" t="s">
        <v>280</v>
      </c>
      <c r="M44" s="9">
        <f>34000*46</f>
        <v>1564000</v>
      </c>
      <c r="N44" s="9">
        <f>+M44/K44</f>
        <v>38674.579624134523</v>
      </c>
      <c r="O44" s="9">
        <v>1841892</v>
      </c>
      <c r="P44" s="582">
        <f t="shared" si="5"/>
        <v>-0.1508731239399487</v>
      </c>
      <c r="Q44" s="444"/>
      <c r="R44" s="9"/>
      <c r="S44" s="9"/>
      <c r="T44" s="9"/>
      <c r="U44" s="9"/>
      <c r="V44" s="9"/>
      <c r="W44" s="9"/>
      <c r="X44" s="9">
        <f>+M44</f>
        <v>1564000</v>
      </c>
      <c r="Y44" s="9"/>
      <c r="Z44" s="9"/>
      <c r="AA44" s="9"/>
      <c r="AB44" s="9"/>
      <c r="AC44" s="9"/>
      <c r="AD44" s="445">
        <f t="shared" si="6"/>
        <v>1564000</v>
      </c>
      <c r="AE44" s="446" t="s">
        <v>384</v>
      </c>
    </row>
    <row r="45" spans="2:31" x14ac:dyDescent="0.25">
      <c r="B45" s="4"/>
      <c r="C45" s="871"/>
      <c r="D45" s="651" t="s">
        <v>43</v>
      </c>
      <c r="E45" s="625" t="s">
        <v>170</v>
      </c>
      <c r="F45" s="272">
        <v>43678</v>
      </c>
      <c r="G45" s="272" t="s">
        <v>312</v>
      </c>
      <c r="H45" s="222" t="s">
        <v>173</v>
      </c>
      <c r="I45" s="222" t="s">
        <v>54</v>
      </c>
      <c r="J45" s="222" t="s">
        <v>6</v>
      </c>
      <c r="K45" s="247">
        <v>40.44</v>
      </c>
      <c r="L45" s="247" t="s">
        <v>280</v>
      </c>
      <c r="M45" s="9">
        <f>34000*46</f>
        <v>1564000</v>
      </c>
      <c r="N45" s="9">
        <f>+M45/K45</f>
        <v>38674.579624134523</v>
      </c>
      <c r="O45" s="9">
        <v>1841892</v>
      </c>
      <c r="P45" s="582">
        <f t="shared" si="5"/>
        <v>-0.1508731239399487</v>
      </c>
      <c r="Q45" s="444"/>
      <c r="R45" s="9"/>
      <c r="S45" s="9"/>
      <c r="T45" s="9"/>
      <c r="U45" s="9"/>
      <c r="V45" s="9"/>
      <c r="W45" s="9"/>
      <c r="X45" s="9">
        <f>+M45</f>
        <v>1564000</v>
      </c>
      <c r="Y45" s="9"/>
      <c r="Z45" s="9"/>
      <c r="AA45" s="9"/>
      <c r="AB45" s="9"/>
      <c r="AC45" s="9"/>
      <c r="AD45" s="445">
        <f t="shared" si="6"/>
        <v>1564000</v>
      </c>
      <c r="AE45" s="446" t="s">
        <v>384</v>
      </c>
    </row>
    <row r="46" spans="2:31" x14ac:dyDescent="0.25">
      <c r="B46" s="4"/>
      <c r="C46" s="871"/>
      <c r="D46" s="651" t="s">
        <v>43</v>
      </c>
      <c r="E46" s="625" t="s">
        <v>174</v>
      </c>
      <c r="F46" s="272">
        <v>43690</v>
      </c>
      <c r="G46" s="272" t="s">
        <v>312</v>
      </c>
      <c r="H46" s="222" t="s">
        <v>175</v>
      </c>
      <c r="I46" s="222" t="s">
        <v>54</v>
      </c>
      <c r="J46" s="222" t="s">
        <v>4</v>
      </c>
      <c r="K46" s="247">
        <v>56.54</v>
      </c>
      <c r="L46" s="247" t="s">
        <v>280</v>
      </c>
      <c r="M46" s="9">
        <v>2350000</v>
      </c>
      <c r="N46" s="9">
        <f>+M46/K46</f>
        <v>41563.494870887866</v>
      </c>
      <c r="O46" s="9">
        <v>2350000</v>
      </c>
      <c r="P46" s="582">
        <f t="shared" si="5"/>
        <v>0</v>
      </c>
      <c r="Q46" s="444"/>
      <c r="R46" s="9"/>
      <c r="S46" s="9"/>
      <c r="T46" s="9"/>
      <c r="U46" s="9"/>
      <c r="V46" s="9"/>
      <c r="W46" s="9"/>
      <c r="X46" s="9">
        <v>2350000</v>
      </c>
      <c r="Y46" s="9"/>
      <c r="Z46" s="9"/>
      <c r="AA46" s="9"/>
      <c r="AB46" s="9"/>
      <c r="AC46" s="9"/>
      <c r="AD46" s="445">
        <f t="shared" si="6"/>
        <v>2350000</v>
      </c>
      <c r="AE46" s="446" t="s">
        <v>326</v>
      </c>
    </row>
    <row r="47" spans="2:31" x14ac:dyDescent="0.25">
      <c r="B47" s="4"/>
      <c r="C47" s="871"/>
      <c r="D47" s="651" t="s">
        <v>43</v>
      </c>
      <c r="E47" s="625" t="s">
        <v>176</v>
      </c>
      <c r="F47" s="272">
        <v>43697</v>
      </c>
      <c r="G47" s="272" t="s">
        <v>375</v>
      </c>
      <c r="H47" s="222" t="s">
        <v>177</v>
      </c>
      <c r="I47" s="222" t="s">
        <v>54</v>
      </c>
      <c r="J47" s="222" t="s">
        <v>6</v>
      </c>
      <c r="K47" s="247">
        <v>46.62</v>
      </c>
      <c r="L47" s="247" t="s">
        <v>280</v>
      </c>
      <c r="M47" s="9">
        <v>1678320</v>
      </c>
      <c r="N47" s="9">
        <f t="shared" si="4"/>
        <v>36000</v>
      </c>
      <c r="O47" s="9">
        <v>2024029</v>
      </c>
      <c r="P47" s="582">
        <f t="shared" si="5"/>
        <v>-0.17080239462972122</v>
      </c>
      <c r="Q47" s="444"/>
      <c r="R47" s="9"/>
      <c r="S47" s="9"/>
      <c r="T47" s="9"/>
      <c r="U47" s="9"/>
      <c r="V47" s="9"/>
      <c r="W47" s="9"/>
      <c r="X47" s="9">
        <f>+$M$47/5</f>
        <v>335664</v>
      </c>
      <c r="Y47" s="9">
        <f>+$M$47/5</f>
        <v>335664</v>
      </c>
      <c r="Z47" s="9">
        <f>+$M$47/5</f>
        <v>335664</v>
      </c>
      <c r="AA47" s="9">
        <f>+$M$47/5</f>
        <v>335664</v>
      </c>
      <c r="AB47" s="9">
        <f>+$M$47/5</f>
        <v>335664</v>
      </c>
      <c r="AC47" s="9"/>
      <c r="AD47" s="445">
        <f t="shared" si="6"/>
        <v>1678320</v>
      </c>
      <c r="AE47" s="446" t="s">
        <v>385</v>
      </c>
    </row>
    <row r="48" spans="2:31" x14ac:dyDescent="0.25">
      <c r="B48" s="4"/>
      <c r="C48" s="871"/>
      <c r="D48" s="651" t="s">
        <v>43</v>
      </c>
      <c r="E48" s="625" t="s">
        <v>176</v>
      </c>
      <c r="F48" s="272">
        <v>43697</v>
      </c>
      <c r="G48" s="272" t="s">
        <v>375</v>
      </c>
      <c r="H48" s="222" t="s">
        <v>178</v>
      </c>
      <c r="I48" s="222" t="s">
        <v>54</v>
      </c>
      <c r="J48" s="222" t="s">
        <v>6</v>
      </c>
      <c r="K48" s="247">
        <v>46.62</v>
      </c>
      <c r="L48" s="247" t="s">
        <v>280</v>
      </c>
      <c r="M48" s="9">
        <v>1678320</v>
      </c>
      <c r="N48" s="9">
        <f t="shared" si="4"/>
        <v>36000</v>
      </c>
      <c r="O48" s="9">
        <v>2064509</v>
      </c>
      <c r="P48" s="582">
        <f t="shared" si="5"/>
        <v>-0.18706094281981817</v>
      </c>
      <c r="Q48" s="444"/>
      <c r="R48" s="9"/>
      <c r="S48" s="9"/>
      <c r="T48" s="9"/>
      <c r="U48" s="9"/>
      <c r="V48" s="9"/>
      <c r="W48" s="9"/>
      <c r="X48" s="9">
        <f>+$M$48/5</f>
        <v>335664</v>
      </c>
      <c r="Y48" s="9">
        <f>+$M$48/5</f>
        <v>335664</v>
      </c>
      <c r="Z48" s="9">
        <f>+$M$48/5</f>
        <v>335664</v>
      </c>
      <c r="AA48" s="9">
        <f>+$M$48/5</f>
        <v>335664</v>
      </c>
      <c r="AB48" s="9">
        <f>+$M$48/5</f>
        <v>335664</v>
      </c>
      <c r="AC48" s="9"/>
      <c r="AD48" s="445">
        <f t="shared" si="6"/>
        <v>1678320</v>
      </c>
      <c r="AE48" s="446" t="s">
        <v>385</v>
      </c>
    </row>
    <row r="49" spans="2:31" x14ac:dyDescent="0.25">
      <c r="B49" s="4"/>
      <c r="C49" s="871"/>
      <c r="D49" s="651" t="s">
        <v>43</v>
      </c>
      <c r="E49" s="625" t="s">
        <v>176</v>
      </c>
      <c r="F49" s="272">
        <v>43697</v>
      </c>
      <c r="G49" s="272" t="s">
        <v>375</v>
      </c>
      <c r="H49" s="222" t="s">
        <v>179</v>
      </c>
      <c r="I49" s="222" t="s">
        <v>54</v>
      </c>
      <c r="J49" s="222" t="s">
        <v>6</v>
      </c>
      <c r="K49" s="247">
        <v>47.67</v>
      </c>
      <c r="L49" s="247" t="s">
        <v>280</v>
      </c>
      <c r="M49" s="9">
        <v>1716120</v>
      </c>
      <c r="N49" s="9">
        <f t="shared" si="4"/>
        <v>36000</v>
      </c>
      <c r="O49" s="9">
        <v>2111007</v>
      </c>
      <c r="P49" s="582">
        <f t="shared" si="5"/>
        <v>-0.18706096190112112</v>
      </c>
      <c r="Q49" s="444"/>
      <c r="R49" s="9"/>
      <c r="S49" s="9"/>
      <c r="T49" s="9"/>
      <c r="U49" s="9"/>
      <c r="V49" s="9"/>
      <c r="W49" s="9"/>
      <c r="X49" s="9">
        <f>+$M$49/5</f>
        <v>343224</v>
      </c>
      <c r="Y49" s="9">
        <f>+$M$49/5</f>
        <v>343224</v>
      </c>
      <c r="Z49" s="9">
        <f>+$M$49/5</f>
        <v>343224</v>
      </c>
      <c r="AA49" s="9">
        <f>+$M$49/5</f>
        <v>343224</v>
      </c>
      <c r="AB49" s="9">
        <f>+$M$49/5</f>
        <v>343224</v>
      </c>
      <c r="AC49" s="9"/>
      <c r="AD49" s="445">
        <f t="shared" si="6"/>
        <v>1716120</v>
      </c>
      <c r="AE49" s="446" t="s">
        <v>385</v>
      </c>
    </row>
    <row r="50" spans="2:31" x14ac:dyDescent="0.25">
      <c r="B50" s="4"/>
      <c r="C50" s="871"/>
      <c r="D50" s="651" t="s">
        <v>43</v>
      </c>
      <c r="E50" s="625" t="s">
        <v>176</v>
      </c>
      <c r="F50" s="272">
        <v>43697</v>
      </c>
      <c r="G50" s="272" t="s">
        <v>375</v>
      </c>
      <c r="H50" s="223" t="s">
        <v>180</v>
      </c>
      <c r="I50" s="223" t="s">
        <v>54</v>
      </c>
      <c r="J50" s="222" t="s">
        <v>6</v>
      </c>
      <c r="K50" s="247">
        <v>47.67</v>
      </c>
      <c r="L50" s="247" t="s">
        <v>280</v>
      </c>
      <c r="M50" s="9">
        <v>1716120</v>
      </c>
      <c r="N50" s="9">
        <f t="shared" si="4"/>
        <v>36000</v>
      </c>
      <c r="O50" s="9">
        <v>2111007</v>
      </c>
      <c r="P50" s="582">
        <f t="shared" si="5"/>
        <v>-0.18706096190112112</v>
      </c>
      <c r="Q50" s="444"/>
      <c r="R50" s="9"/>
      <c r="S50" s="9"/>
      <c r="T50" s="9"/>
      <c r="U50" s="9"/>
      <c r="V50" s="9"/>
      <c r="W50" s="9"/>
      <c r="X50" s="9">
        <f>+$M$50/5</f>
        <v>343224</v>
      </c>
      <c r="Y50" s="9">
        <f>+$M$50/5</f>
        <v>343224</v>
      </c>
      <c r="Z50" s="9">
        <f>+$M$50/5</f>
        <v>343224</v>
      </c>
      <c r="AA50" s="9">
        <f>+$M$50/5</f>
        <v>343224</v>
      </c>
      <c r="AB50" s="9">
        <f>+$M$50/5</f>
        <v>343224</v>
      </c>
      <c r="AC50" s="9"/>
      <c r="AD50" s="445">
        <f t="shared" si="6"/>
        <v>1716120</v>
      </c>
      <c r="AE50" s="446" t="s">
        <v>385</v>
      </c>
    </row>
    <row r="51" spans="2:31" x14ac:dyDescent="0.25">
      <c r="B51" s="4"/>
      <c r="C51" s="871"/>
      <c r="D51" s="651" t="s">
        <v>43</v>
      </c>
      <c r="E51" s="626" t="s">
        <v>181</v>
      </c>
      <c r="F51" s="18">
        <v>43697</v>
      </c>
      <c r="G51" s="18" t="s">
        <v>312</v>
      </c>
      <c r="H51" s="33" t="s">
        <v>182</v>
      </c>
      <c r="I51" s="33" t="s">
        <v>54</v>
      </c>
      <c r="J51" s="19" t="s">
        <v>4</v>
      </c>
      <c r="K51" s="20">
        <v>47.77</v>
      </c>
      <c r="L51" s="20" t="s">
        <v>281</v>
      </c>
      <c r="M51" s="21">
        <v>2985180</v>
      </c>
      <c r="N51" s="9">
        <f t="shared" si="4"/>
        <v>62490.684530039769</v>
      </c>
      <c r="O51" s="21">
        <v>2123171</v>
      </c>
      <c r="P51" s="586">
        <f t="shared" si="5"/>
        <v>0.40600074134396147</v>
      </c>
      <c r="Q51" s="457"/>
      <c r="R51" s="21"/>
      <c r="S51" s="21"/>
      <c r="T51" s="21"/>
      <c r="U51" s="21"/>
      <c r="V51" s="21"/>
      <c r="W51" s="21"/>
      <c r="X51" s="21">
        <v>40000</v>
      </c>
      <c r="Y51" s="21">
        <f>300000-40000</f>
        <v>260000</v>
      </c>
      <c r="Z51" s="21"/>
      <c r="AA51" s="21"/>
      <c r="AB51" s="21"/>
      <c r="AC51" s="21"/>
      <c r="AD51" s="445">
        <f t="shared" si="6"/>
        <v>300000</v>
      </c>
      <c r="AE51" s="458" t="s">
        <v>327</v>
      </c>
    </row>
    <row r="52" spans="2:31" x14ac:dyDescent="0.25">
      <c r="B52" s="4"/>
      <c r="C52" s="871"/>
      <c r="D52" s="651" t="s">
        <v>43</v>
      </c>
      <c r="E52" s="626" t="s">
        <v>183</v>
      </c>
      <c r="F52" s="18">
        <v>43698</v>
      </c>
      <c r="G52" s="18" t="s">
        <v>312</v>
      </c>
      <c r="H52" s="33" t="s">
        <v>184</v>
      </c>
      <c r="I52" s="33" t="s">
        <v>54</v>
      </c>
      <c r="J52" s="19" t="s">
        <v>4</v>
      </c>
      <c r="K52" s="20">
        <v>44.35</v>
      </c>
      <c r="L52" s="20" t="s">
        <v>280</v>
      </c>
      <c r="M52" s="21">
        <v>2122329</v>
      </c>
      <c r="N52" s="21">
        <f t="shared" si="4"/>
        <v>47854.092446448703</v>
      </c>
      <c r="O52" s="21">
        <v>2030457</v>
      </c>
      <c r="P52" s="586">
        <f t="shared" si="5"/>
        <v>4.5246956719595638E-2</v>
      </c>
      <c r="Q52" s="457"/>
      <c r="R52" s="21"/>
      <c r="S52" s="21"/>
      <c r="T52" s="21"/>
      <c r="U52" s="21"/>
      <c r="V52" s="21"/>
      <c r="W52" s="21"/>
      <c r="X52" s="21">
        <v>20000</v>
      </c>
      <c r="Y52" s="21"/>
      <c r="Z52" s="21">
        <v>2102329</v>
      </c>
      <c r="AA52" s="21"/>
      <c r="AB52" s="21"/>
      <c r="AC52" s="21"/>
      <c r="AD52" s="445">
        <f t="shared" si="6"/>
        <v>2122329</v>
      </c>
      <c r="AE52" s="458" t="s">
        <v>328</v>
      </c>
    </row>
    <row r="53" spans="2:31" x14ac:dyDescent="0.25">
      <c r="B53" s="4"/>
      <c r="C53" s="871"/>
      <c r="D53" s="651" t="s">
        <v>43</v>
      </c>
      <c r="E53" s="626" t="s">
        <v>183</v>
      </c>
      <c r="F53" s="18">
        <v>43698</v>
      </c>
      <c r="G53" s="18" t="s">
        <v>312</v>
      </c>
      <c r="H53" s="33" t="s">
        <v>185</v>
      </c>
      <c r="I53" s="33" t="s">
        <v>54</v>
      </c>
      <c r="J53" s="19" t="s">
        <v>4</v>
      </c>
      <c r="K53" s="20">
        <v>47.77</v>
      </c>
      <c r="L53" s="20" t="s">
        <v>280</v>
      </c>
      <c r="M53" s="21">
        <v>2219588</v>
      </c>
      <c r="N53" s="21">
        <f t="shared" si="4"/>
        <v>46464.056939501774</v>
      </c>
      <c r="O53" s="21">
        <v>2123369</v>
      </c>
      <c r="P53" s="586">
        <f t="shared" si="5"/>
        <v>4.5314309477062158E-2</v>
      </c>
      <c r="Q53" s="457"/>
      <c r="R53" s="21"/>
      <c r="S53" s="21"/>
      <c r="T53" s="21"/>
      <c r="U53" s="21"/>
      <c r="V53" s="21"/>
      <c r="W53" s="21"/>
      <c r="X53" s="21">
        <v>20000</v>
      </c>
      <c r="Y53" s="21"/>
      <c r="Z53" s="21">
        <v>2199588</v>
      </c>
      <c r="AA53" s="21"/>
      <c r="AB53" s="21"/>
      <c r="AC53" s="21"/>
      <c r="AD53" s="445">
        <f t="shared" si="6"/>
        <v>2219588</v>
      </c>
      <c r="AE53" s="458" t="s">
        <v>328</v>
      </c>
    </row>
    <row r="54" spans="2:31" x14ac:dyDescent="0.25">
      <c r="B54" s="4"/>
      <c r="C54" s="871"/>
      <c r="D54" s="651" t="s">
        <v>43</v>
      </c>
      <c r="E54" s="626" t="s">
        <v>186</v>
      </c>
      <c r="F54" s="18">
        <v>43705</v>
      </c>
      <c r="G54" s="18" t="s">
        <v>312</v>
      </c>
      <c r="H54" s="33" t="s">
        <v>187</v>
      </c>
      <c r="I54" s="33" t="s">
        <v>54</v>
      </c>
      <c r="J54" s="19" t="s">
        <v>6</v>
      </c>
      <c r="K54" s="20">
        <v>35.700000000000003</v>
      </c>
      <c r="L54" s="20" t="s">
        <v>280</v>
      </c>
      <c r="M54" s="21">
        <f>4950000*0.98/3</f>
        <v>1617000</v>
      </c>
      <c r="N54" s="21">
        <f>+M54/K54</f>
        <v>45294.117647058818</v>
      </c>
      <c r="O54" s="21">
        <v>1674728.0550000002</v>
      </c>
      <c r="P54" s="586">
        <f t="shared" si="5"/>
        <v>-3.4470106849676059E-2</v>
      </c>
      <c r="Q54" s="457"/>
      <c r="R54" s="21"/>
      <c r="S54" s="21"/>
      <c r="T54" s="21"/>
      <c r="U54" s="21"/>
      <c r="V54" s="21"/>
      <c r="W54" s="21"/>
      <c r="X54" s="21">
        <f>+M54</f>
        <v>1617000</v>
      </c>
      <c r="Y54" s="21"/>
      <c r="Z54" s="21"/>
      <c r="AA54" s="21"/>
      <c r="AB54" s="21"/>
      <c r="AC54" s="21"/>
      <c r="AD54" s="445">
        <f t="shared" si="6"/>
        <v>1617000</v>
      </c>
      <c r="AE54" s="458" t="s">
        <v>329</v>
      </c>
    </row>
    <row r="55" spans="2:31" x14ac:dyDescent="0.25">
      <c r="B55" s="4"/>
      <c r="C55" s="871"/>
      <c r="D55" s="651" t="s">
        <v>43</v>
      </c>
      <c r="E55" s="626" t="s">
        <v>186</v>
      </c>
      <c r="F55" s="18">
        <v>43705</v>
      </c>
      <c r="G55" s="18" t="s">
        <v>312</v>
      </c>
      <c r="H55" s="33" t="s">
        <v>188</v>
      </c>
      <c r="I55" s="33" t="s">
        <v>54</v>
      </c>
      <c r="J55" s="19" t="s">
        <v>6</v>
      </c>
      <c r="K55" s="20">
        <v>35.700000000000003</v>
      </c>
      <c r="L55" s="20" t="s">
        <v>280</v>
      </c>
      <c r="M55" s="21">
        <f>4950000*0.98/3</f>
        <v>1617000</v>
      </c>
      <c r="N55" s="21">
        <f>+M55/K55</f>
        <v>45294.117647058818</v>
      </c>
      <c r="O55" s="21">
        <v>1674728.0550000002</v>
      </c>
      <c r="P55" s="586">
        <f t="shared" si="5"/>
        <v>-3.4470106849676059E-2</v>
      </c>
      <c r="Q55" s="457"/>
      <c r="R55" s="21"/>
      <c r="S55" s="21"/>
      <c r="T55" s="21"/>
      <c r="U55" s="21"/>
      <c r="V55" s="21"/>
      <c r="W55" s="21"/>
      <c r="X55" s="21">
        <f>+M55</f>
        <v>1617000</v>
      </c>
      <c r="Y55" s="21"/>
      <c r="Z55" s="21"/>
      <c r="AA55" s="21"/>
      <c r="AB55" s="21"/>
      <c r="AC55" s="21"/>
      <c r="AD55" s="445">
        <f t="shared" si="6"/>
        <v>1617000</v>
      </c>
      <c r="AE55" s="458"/>
    </row>
    <row r="56" spans="2:31" x14ac:dyDescent="0.25">
      <c r="B56" s="4"/>
      <c r="C56" s="871"/>
      <c r="D56" s="651" t="s">
        <v>43</v>
      </c>
      <c r="E56" s="626" t="s">
        <v>186</v>
      </c>
      <c r="F56" s="18">
        <v>43705</v>
      </c>
      <c r="G56" s="18" t="s">
        <v>312</v>
      </c>
      <c r="H56" s="33" t="s">
        <v>189</v>
      </c>
      <c r="I56" s="33" t="s">
        <v>54</v>
      </c>
      <c r="J56" s="19" t="s">
        <v>6</v>
      </c>
      <c r="K56" s="20">
        <v>35.700000000000003</v>
      </c>
      <c r="L56" s="20" t="s">
        <v>280</v>
      </c>
      <c r="M56" s="21">
        <f>4950000*0.98/3</f>
        <v>1617000</v>
      </c>
      <c r="N56" s="21">
        <f>+M56/K56</f>
        <v>45294.117647058818</v>
      </c>
      <c r="O56" s="21">
        <v>1674728.0549999999</v>
      </c>
      <c r="P56" s="586">
        <f t="shared" si="5"/>
        <v>-3.447010684967592E-2</v>
      </c>
      <c r="Q56" s="457"/>
      <c r="R56" s="21"/>
      <c r="S56" s="21"/>
      <c r="T56" s="21"/>
      <c r="U56" s="21"/>
      <c r="V56" s="21"/>
      <c r="W56" s="21"/>
      <c r="X56" s="21">
        <f>+M56</f>
        <v>1617000</v>
      </c>
      <c r="Y56" s="21"/>
      <c r="Z56" s="21"/>
      <c r="AA56" s="21"/>
      <c r="AB56" s="21"/>
      <c r="AC56" s="21"/>
      <c r="AD56" s="445">
        <f t="shared" si="6"/>
        <v>1617000</v>
      </c>
      <c r="AE56" s="458"/>
    </row>
    <row r="57" spans="2:31" x14ac:dyDescent="0.25">
      <c r="B57" s="4"/>
      <c r="C57" s="871"/>
      <c r="D57" s="651" t="s">
        <v>43</v>
      </c>
      <c r="E57" s="626" t="s">
        <v>190</v>
      </c>
      <c r="F57" s="18">
        <v>43707</v>
      </c>
      <c r="G57" s="18" t="s">
        <v>312</v>
      </c>
      <c r="H57" s="33" t="s">
        <v>191</v>
      </c>
      <c r="I57" s="33" t="s">
        <v>54</v>
      </c>
      <c r="J57" s="19" t="s">
        <v>6</v>
      </c>
      <c r="K57" s="20">
        <v>46.62</v>
      </c>
      <c r="L57" s="20" t="s">
        <v>280</v>
      </c>
      <c r="M57" s="21">
        <v>2122000</v>
      </c>
      <c r="N57" s="21">
        <f>+M57/K57</f>
        <v>45516.945516945518</v>
      </c>
      <c r="O57" s="21">
        <v>2022166</v>
      </c>
      <c r="P57" s="586">
        <f t="shared" si="5"/>
        <v>4.9369834128355439E-2</v>
      </c>
      <c r="Q57" s="457"/>
      <c r="R57" s="21"/>
      <c r="S57" s="21"/>
      <c r="T57" s="21"/>
      <c r="U57" s="21"/>
      <c r="V57" s="21"/>
      <c r="W57" s="21"/>
      <c r="X57" s="21">
        <v>122000</v>
      </c>
      <c r="Y57" s="21">
        <f>+M57-X57</f>
        <v>2000000</v>
      </c>
      <c r="Z57" s="21"/>
      <c r="AA57" s="21"/>
      <c r="AB57" s="21"/>
      <c r="AC57" s="21"/>
      <c r="AD57" s="445">
        <f t="shared" si="6"/>
        <v>2122000</v>
      </c>
      <c r="AE57" s="458" t="s">
        <v>386</v>
      </c>
    </row>
    <row r="58" spans="2:31" ht="15.75" thickBot="1" x14ac:dyDescent="0.3">
      <c r="B58" s="4"/>
      <c r="C58" s="871"/>
      <c r="D58" s="651" t="s">
        <v>43</v>
      </c>
      <c r="E58" s="555" t="s">
        <v>190</v>
      </c>
      <c r="F58" s="627">
        <v>43707</v>
      </c>
      <c r="G58" s="627" t="s">
        <v>312</v>
      </c>
      <c r="H58" s="208" t="s">
        <v>330</v>
      </c>
      <c r="I58" s="208" t="s">
        <v>55</v>
      </c>
      <c r="J58" s="628" t="s">
        <v>6</v>
      </c>
      <c r="K58" s="629">
        <v>47.77</v>
      </c>
      <c r="L58" s="629" t="s">
        <v>280</v>
      </c>
      <c r="M58" s="630">
        <v>651228</v>
      </c>
      <c r="N58" s="630"/>
      <c r="O58" s="630"/>
      <c r="P58" s="631" t="s">
        <v>279</v>
      </c>
      <c r="Q58" s="632"/>
      <c r="R58" s="630"/>
      <c r="S58" s="630"/>
      <c r="T58" s="630"/>
      <c r="U58" s="630"/>
      <c r="V58" s="630"/>
      <c r="W58" s="630"/>
      <c r="X58" s="630"/>
      <c r="Y58" s="630">
        <v>146982</v>
      </c>
      <c r="Z58" s="630"/>
      <c r="AA58" s="630"/>
      <c r="AB58" s="630"/>
      <c r="AC58" s="630"/>
      <c r="AD58" s="448">
        <f t="shared" si="6"/>
        <v>146982</v>
      </c>
      <c r="AE58" s="633" t="s">
        <v>331</v>
      </c>
    </row>
    <row r="59" spans="2:31" x14ac:dyDescent="0.25">
      <c r="B59" s="4"/>
      <c r="C59" s="870" t="s">
        <v>31</v>
      </c>
      <c r="D59" s="651" t="s">
        <v>43</v>
      </c>
      <c r="E59" s="22" t="s">
        <v>192</v>
      </c>
      <c r="F59" s="45">
        <v>43713</v>
      </c>
      <c r="G59" s="45" t="s">
        <v>312</v>
      </c>
      <c r="H59" s="46" t="s">
        <v>128</v>
      </c>
      <c r="I59" s="46" t="s">
        <v>54</v>
      </c>
      <c r="J59" s="23" t="s">
        <v>4</v>
      </c>
      <c r="K59" s="24">
        <v>47.77</v>
      </c>
      <c r="L59" s="24" t="s">
        <v>281</v>
      </c>
      <c r="M59" s="25">
        <v>2615655</v>
      </c>
      <c r="N59" s="25">
        <f>+M59/K59</f>
        <v>54755.181075989109</v>
      </c>
      <c r="O59" s="25">
        <v>2283320</v>
      </c>
      <c r="P59" s="591">
        <f t="shared" ref="P59:P65" si="7">+(M59-O59)/O59</f>
        <v>0.14554902510379622</v>
      </c>
      <c r="Q59" s="464"/>
      <c r="R59" s="25"/>
      <c r="S59" s="25"/>
      <c r="T59" s="25"/>
      <c r="U59" s="25"/>
      <c r="V59" s="25"/>
      <c r="W59" s="25"/>
      <c r="X59" s="25"/>
      <c r="Y59" s="25">
        <v>900000</v>
      </c>
      <c r="Z59" s="25"/>
      <c r="AA59" s="25"/>
      <c r="AB59" s="25"/>
      <c r="AC59" s="25"/>
      <c r="AD59" s="420">
        <f t="shared" si="6"/>
        <v>900000</v>
      </c>
      <c r="AE59" s="26" t="s">
        <v>89</v>
      </c>
    </row>
    <row r="60" spans="2:31" x14ac:dyDescent="0.25">
      <c r="B60" s="4"/>
      <c r="C60" s="871"/>
      <c r="D60" s="651" t="s">
        <v>43</v>
      </c>
      <c r="E60" s="251" t="s">
        <v>193</v>
      </c>
      <c r="F60" s="284">
        <v>43714</v>
      </c>
      <c r="G60" s="284" t="s">
        <v>312</v>
      </c>
      <c r="H60" s="193" t="s">
        <v>194</v>
      </c>
      <c r="I60" s="193" t="s">
        <v>54</v>
      </c>
      <c r="J60" s="252" t="s">
        <v>4</v>
      </c>
      <c r="K60" s="253">
        <v>47.77</v>
      </c>
      <c r="L60" s="253" t="s">
        <v>280</v>
      </c>
      <c r="M60" s="254">
        <v>2261735</v>
      </c>
      <c r="N60" s="254">
        <f>+M60/K60</f>
        <v>47346.347079757164</v>
      </c>
      <c r="O60" s="254">
        <v>2283320</v>
      </c>
      <c r="P60" s="587">
        <f t="shared" si="7"/>
        <v>-9.4533398735175099E-3</v>
      </c>
      <c r="Q60" s="450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>
        <f>+M60</f>
        <v>2261735</v>
      </c>
      <c r="AC60" s="254"/>
      <c r="AD60" s="207">
        <f t="shared" si="6"/>
        <v>2261735</v>
      </c>
      <c r="AE60" s="451"/>
    </row>
    <row r="61" spans="2:31" x14ac:dyDescent="0.25">
      <c r="B61" s="4"/>
      <c r="C61" s="871"/>
      <c r="D61" s="651" t="s">
        <v>43</v>
      </c>
      <c r="E61" s="251" t="s">
        <v>193</v>
      </c>
      <c r="F61" s="284">
        <v>43714</v>
      </c>
      <c r="G61" s="284" t="s">
        <v>312</v>
      </c>
      <c r="H61" s="193" t="s">
        <v>164</v>
      </c>
      <c r="I61" s="193" t="s">
        <v>54</v>
      </c>
      <c r="J61" s="252" t="s">
        <v>4</v>
      </c>
      <c r="K61" s="253">
        <v>47.77</v>
      </c>
      <c r="L61" s="253" t="s">
        <v>280</v>
      </c>
      <c r="M61" s="254">
        <v>2261735</v>
      </c>
      <c r="N61" s="254">
        <f t="shared" ref="N61:N80" si="8">+M61/K61</f>
        <v>47346.347079757164</v>
      </c>
      <c r="O61" s="254">
        <v>2283320</v>
      </c>
      <c r="P61" s="587">
        <f t="shared" si="7"/>
        <v>-9.4533398735175099E-3</v>
      </c>
      <c r="Q61" s="450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>
        <f>+M61</f>
        <v>2261735</v>
      </c>
      <c r="AC61" s="254"/>
      <c r="AD61" s="207">
        <f t="shared" si="6"/>
        <v>2261735</v>
      </c>
      <c r="AE61" s="451"/>
    </row>
    <row r="62" spans="2:31" x14ac:dyDescent="0.25">
      <c r="B62" s="4"/>
      <c r="C62" s="871"/>
      <c r="D62" s="651" t="s">
        <v>43</v>
      </c>
      <c r="E62" s="263" t="s">
        <v>193</v>
      </c>
      <c r="F62" s="465">
        <v>43714</v>
      </c>
      <c r="G62" s="465" t="s">
        <v>312</v>
      </c>
      <c r="H62" s="466" t="s">
        <v>195</v>
      </c>
      <c r="I62" s="466" t="s">
        <v>54</v>
      </c>
      <c r="J62" s="264" t="s">
        <v>4</v>
      </c>
      <c r="K62" s="265">
        <v>47.77</v>
      </c>
      <c r="L62" s="265" t="s">
        <v>280</v>
      </c>
      <c r="M62" s="266">
        <v>2261735</v>
      </c>
      <c r="N62" s="266">
        <f t="shared" si="8"/>
        <v>47346.347079757164</v>
      </c>
      <c r="O62" s="266">
        <v>2283320</v>
      </c>
      <c r="P62" s="584">
        <f t="shared" si="7"/>
        <v>-9.4533398735175099E-3</v>
      </c>
      <c r="Q62" s="460"/>
      <c r="R62" s="266"/>
      <c r="S62" s="266"/>
      <c r="T62" s="266"/>
      <c r="U62" s="266"/>
      <c r="V62" s="266"/>
      <c r="W62" s="266"/>
      <c r="X62" s="266"/>
      <c r="Y62" s="266"/>
      <c r="Z62" s="254"/>
      <c r="AA62" s="254"/>
      <c r="AB62" s="254">
        <f>+M62</f>
        <v>2261735</v>
      </c>
      <c r="AC62" s="254"/>
      <c r="AD62" s="207">
        <f t="shared" si="6"/>
        <v>2261735</v>
      </c>
      <c r="AE62" s="462"/>
    </row>
    <row r="63" spans="2:31" x14ac:dyDescent="0.25">
      <c r="B63" s="4"/>
      <c r="C63" s="871"/>
      <c r="D63" s="651" t="s">
        <v>43</v>
      </c>
      <c r="E63" s="182" t="s">
        <v>196</v>
      </c>
      <c r="F63" s="156">
        <v>43719</v>
      </c>
      <c r="G63" s="156" t="s">
        <v>312</v>
      </c>
      <c r="H63" s="189" t="s">
        <v>197</v>
      </c>
      <c r="I63" s="189" t="s">
        <v>54</v>
      </c>
      <c r="J63" s="155" t="s">
        <v>6</v>
      </c>
      <c r="K63" s="157">
        <v>47.67</v>
      </c>
      <c r="L63" s="157" t="s">
        <v>280</v>
      </c>
      <c r="M63" s="158">
        <v>2159608.31</v>
      </c>
      <c r="N63" s="158">
        <f t="shared" si="8"/>
        <v>45303.299979022442</v>
      </c>
      <c r="O63" s="158">
        <v>2382002</v>
      </c>
      <c r="P63" s="580">
        <f t="shared" si="7"/>
        <v>-9.3364191129982232E-2</v>
      </c>
      <c r="Q63" s="452"/>
      <c r="R63" s="158"/>
      <c r="S63" s="158"/>
      <c r="T63" s="158"/>
      <c r="U63" s="158"/>
      <c r="V63" s="158"/>
      <c r="W63" s="158"/>
      <c r="X63" s="158"/>
      <c r="Y63" s="158">
        <f>967440.72+1192167.59</f>
        <v>2159608.31</v>
      </c>
      <c r="Z63" s="254"/>
      <c r="AA63" s="254"/>
      <c r="AB63" s="254"/>
      <c r="AC63" s="254"/>
      <c r="AD63" s="207">
        <f t="shared" si="6"/>
        <v>2159608.31</v>
      </c>
      <c r="AE63" s="421" t="s">
        <v>332</v>
      </c>
    </row>
    <row r="64" spans="2:31" x14ac:dyDescent="0.25">
      <c r="B64" s="4"/>
      <c r="C64" s="871"/>
      <c r="D64" s="651" t="s">
        <v>43</v>
      </c>
      <c r="E64" s="251" t="s">
        <v>198</v>
      </c>
      <c r="F64" s="284">
        <v>43721</v>
      </c>
      <c r="G64" s="284" t="s">
        <v>312</v>
      </c>
      <c r="H64" s="193" t="s">
        <v>199</v>
      </c>
      <c r="I64" s="193" t="s">
        <v>54</v>
      </c>
      <c r="J64" s="252" t="s">
        <v>6</v>
      </c>
      <c r="K64" s="253">
        <v>74.5</v>
      </c>
      <c r="L64" s="253" t="s">
        <v>280</v>
      </c>
      <c r="M64" s="254">
        <v>3637892</v>
      </c>
      <c r="N64" s="254">
        <f t="shared" si="8"/>
        <v>48830.765100671138</v>
      </c>
      <c r="O64" s="254">
        <v>3761241</v>
      </c>
      <c r="P64" s="587">
        <f t="shared" si="7"/>
        <v>-3.2794761090820822E-2</v>
      </c>
      <c r="Q64" s="450"/>
      <c r="R64" s="254"/>
      <c r="S64" s="254"/>
      <c r="T64" s="254"/>
      <c r="U64" s="254"/>
      <c r="V64" s="254"/>
      <c r="W64" s="254"/>
      <c r="X64" s="254"/>
      <c r="Y64" s="254">
        <f>+M64</f>
        <v>3637892</v>
      </c>
      <c r="Z64" s="254"/>
      <c r="AA64" s="254"/>
      <c r="AB64" s="254"/>
      <c r="AC64" s="254"/>
      <c r="AD64" s="207">
        <f t="shared" si="6"/>
        <v>3637892</v>
      </c>
      <c r="AE64" s="451"/>
    </row>
    <row r="65" spans="2:31" x14ac:dyDescent="0.25">
      <c r="B65" s="4"/>
      <c r="C65" s="871"/>
      <c r="D65" s="651" t="s">
        <v>43</v>
      </c>
      <c r="E65" s="251" t="s">
        <v>198</v>
      </c>
      <c r="F65" s="284">
        <v>43721</v>
      </c>
      <c r="G65" s="284" t="s">
        <v>312</v>
      </c>
      <c r="H65" s="193" t="s">
        <v>200</v>
      </c>
      <c r="I65" s="193" t="s">
        <v>54</v>
      </c>
      <c r="J65" s="252" t="s">
        <v>6</v>
      </c>
      <c r="K65" s="253">
        <v>46.62</v>
      </c>
      <c r="L65" s="253" t="s">
        <v>280</v>
      </c>
      <c r="M65" s="254">
        <v>2042794</v>
      </c>
      <c r="N65" s="254">
        <f t="shared" si="8"/>
        <v>43817.975117975118</v>
      </c>
      <c r="O65" s="254">
        <v>2329535</v>
      </c>
      <c r="P65" s="587">
        <f t="shared" si="7"/>
        <v>-0.12308937191327883</v>
      </c>
      <c r="Q65" s="450"/>
      <c r="R65" s="254"/>
      <c r="S65" s="254"/>
      <c r="T65" s="254"/>
      <c r="U65" s="254"/>
      <c r="V65" s="254"/>
      <c r="W65" s="254"/>
      <c r="X65" s="254"/>
      <c r="Y65" s="254">
        <f>+M65</f>
        <v>2042794</v>
      </c>
      <c r="Z65" s="254"/>
      <c r="AA65" s="254"/>
      <c r="AB65" s="254"/>
      <c r="AC65" s="254"/>
      <c r="AD65" s="207">
        <f t="shared" si="6"/>
        <v>2042794</v>
      </c>
      <c r="AE65" s="451"/>
    </row>
    <row r="66" spans="2:31" x14ac:dyDescent="0.25">
      <c r="B66" s="4"/>
      <c r="C66" s="871"/>
      <c r="D66" s="651" t="s">
        <v>43</v>
      </c>
      <c r="E66" s="251" t="s">
        <v>198</v>
      </c>
      <c r="F66" s="284">
        <v>43721</v>
      </c>
      <c r="G66" s="284" t="s">
        <v>312</v>
      </c>
      <c r="H66" s="193" t="s">
        <v>333</v>
      </c>
      <c r="I66" s="193" t="s">
        <v>55</v>
      </c>
      <c r="J66" s="252" t="s">
        <v>6</v>
      </c>
      <c r="K66" s="253">
        <v>19.899999999999999</v>
      </c>
      <c r="L66" s="253" t="s">
        <v>280</v>
      </c>
      <c r="M66" s="254">
        <v>691469</v>
      </c>
      <c r="N66" s="254"/>
      <c r="O66" s="254"/>
      <c r="P66" s="587" t="s">
        <v>279</v>
      </c>
      <c r="Q66" s="450"/>
      <c r="R66" s="254"/>
      <c r="S66" s="254"/>
      <c r="T66" s="254"/>
      <c r="U66" s="254"/>
      <c r="V66" s="254"/>
      <c r="W66" s="254"/>
      <c r="X66" s="254"/>
      <c r="Y66" s="254">
        <f>+M66</f>
        <v>691469</v>
      </c>
      <c r="Z66" s="254"/>
      <c r="AA66" s="254"/>
      <c r="AB66" s="254"/>
      <c r="AC66" s="254"/>
      <c r="AD66" s="207">
        <f t="shared" si="6"/>
        <v>691469</v>
      </c>
      <c r="AE66" s="451"/>
    </row>
    <row r="67" spans="2:31" x14ac:dyDescent="0.25">
      <c r="B67" s="4"/>
      <c r="C67" s="871"/>
      <c r="D67" s="651" t="s">
        <v>43</v>
      </c>
      <c r="E67" s="251" t="s">
        <v>201</v>
      </c>
      <c r="F67" s="284">
        <v>43721</v>
      </c>
      <c r="G67" s="284" t="s">
        <v>375</v>
      </c>
      <c r="H67" s="193" t="s">
        <v>202</v>
      </c>
      <c r="I67" s="193" t="s">
        <v>54</v>
      </c>
      <c r="J67" s="252" t="s">
        <v>9</v>
      </c>
      <c r="K67" s="253">
        <v>47.17</v>
      </c>
      <c r="L67" s="253" t="s">
        <v>280</v>
      </c>
      <c r="M67" s="254">
        <v>2028310</v>
      </c>
      <c r="N67" s="254">
        <f t="shared" si="8"/>
        <v>43000</v>
      </c>
      <c r="O67" s="254">
        <v>1981437</v>
      </c>
      <c r="P67" s="587">
        <f>+(M67-O67)/O67</f>
        <v>2.3656063755748986E-2</v>
      </c>
      <c r="Q67" s="450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>
        <f>+M67</f>
        <v>2028310</v>
      </c>
      <c r="AC67" s="254"/>
      <c r="AD67" s="207">
        <f t="shared" ref="AD67:AD93" si="9">SUM(Q67:AB67)</f>
        <v>2028310</v>
      </c>
      <c r="AE67" s="451" t="s">
        <v>334</v>
      </c>
    </row>
    <row r="68" spans="2:31" x14ac:dyDescent="0.25">
      <c r="B68" s="4"/>
      <c r="C68" s="871"/>
      <c r="D68" s="651" t="s">
        <v>43</v>
      </c>
      <c r="E68" s="251" t="s">
        <v>201</v>
      </c>
      <c r="F68" s="284">
        <v>43721</v>
      </c>
      <c r="G68" s="284" t="s">
        <v>375</v>
      </c>
      <c r="H68" s="193" t="s">
        <v>203</v>
      </c>
      <c r="I68" s="193" t="s">
        <v>54</v>
      </c>
      <c r="J68" s="252" t="s">
        <v>9</v>
      </c>
      <c r="K68" s="253">
        <v>47.17</v>
      </c>
      <c r="L68" s="253" t="s">
        <v>280</v>
      </c>
      <c r="M68" s="254">
        <v>2028310</v>
      </c>
      <c r="N68" s="254">
        <f t="shared" si="8"/>
        <v>43000</v>
      </c>
      <c r="O68" s="254">
        <v>1981437</v>
      </c>
      <c r="P68" s="587">
        <f>+(M68-O68)/O68</f>
        <v>2.3656063755748986E-2</v>
      </c>
      <c r="Q68" s="450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>
        <f>+M68</f>
        <v>2028310</v>
      </c>
      <c r="AC68" s="254"/>
      <c r="AD68" s="207">
        <f t="shared" si="9"/>
        <v>2028310</v>
      </c>
      <c r="AE68" s="451" t="s">
        <v>334</v>
      </c>
    </row>
    <row r="69" spans="2:31" x14ac:dyDescent="0.25">
      <c r="B69" s="4"/>
      <c r="C69" s="871"/>
      <c r="D69" s="651" t="s">
        <v>43</v>
      </c>
      <c r="E69" s="251" t="s">
        <v>201</v>
      </c>
      <c r="F69" s="284">
        <v>43721</v>
      </c>
      <c r="G69" s="284" t="s">
        <v>375</v>
      </c>
      <c r="H69" s="193" t="s">
        <v>204</v>
      </c>
      <c r="I69" s="193" t="s">
        <v>54</v>
      </c>
      <c r="J69" s="252" t="s">
        <v>9</v>
      </c>
      <c r="K69" s="253">
        <v>47.17</v>
      </c>
      <c r="L69" s="253" t="s">
        <v>280</v>
      </c>
      <c r="M69" s="254">
        <v>2028310</v>
      </c>
      <c r="N69" s="254">
        <f t="shared" si="8"/>
        <v>43000</v>
      </c>
      <c r="O69" s="254">
        <v>1981437</v>
      </c>
      <c r="P69" s="587">
        <f>+(M69-O69)/O69</f>
        <v>2.3656063755748986E-2</v>
      </c>
      <c r="Q69" s="450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>
        <f>+M69</f>
        <v>2028310</v>
      </c>
      <c r="AC69" s="254"/>
      <c r="AD69" s="207">
        <f t="shared" si="9"/>
        <v>2028310</v>
      </c>
      <c r="AE69" s="451" t="s">
        <v>334</v>
      </c>
    </row>
    <row r="70" spans="2:31" x14ac:dyDescent="0.25">
      <c r="B70" s="4"/>
      <c r="C70" s="871"/>
      <c r="D70" s="651" t="s">
        <v>43</v>
      </c>
      <c r="E70" s="251" t="s">
        <v>201</v>
      </c>
      <c r="F70" s="284">
        <v>43721</v>
      </c>
      <c r="G70" s="284" t="s">
        <v>375</v>
      </c>
      <c r="H70" s="193" t="s">
        <v>166</v>
      </c>
      <c r="I70" s="193" t="s">
        <v>54</v>
      </c>
      <c r="J70" s="252" t="s">
        <v>9</v>
      </c>
      <c r="K70" s="253">
        <v>47.17</v>
      </c>
      <c r="L70" s="253" t="s">
        <v>280</v>
      </c>
      <c r="M70" s="254">
        <v>2028310</v>
      </c>
      <c r="N70" s="254">
        <f t="shared" si="8"/>
        <v>43000</v>
      </c>
      <c r="O70" s="254">
        <v>1981437</v>
      </c>
      <c r="P70" s="587">
        <f>+(M70-O70)/O70</f>
        <v>2.3656063755748986E-2</v>
      </c>
      <c r="Q70" s="450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>
        <f>+M70</f>
        <v>2028310</v>
      </c>
      <c r="AC70" s="254"/>
      <c r="AD70" s="207">
        <f t="shared" si="9"/>
        <v>2028310</v>
      </c>
      <c r="AE70" s="451" t="s">
        <v>334</v>
      </c>
    </row>
    <row r="71" spans="2:31" x14ac:dyDescent="0.25">
      <c r="B71" s="4"/>
      <c r="C71" s="871"/>
      <c r="D71" s="651" t="s">
        <v>43</v>
      </c>
      <c r="E71" s="251" t="s">
        <v>201</v>
      </c>
      <c r="F71" s="284">
        <v>43721</v>
      </c>
      <c r="G71" s="284" t="s">
        <v>375</v>
      </c>
      <c r="H71" s="193" t="s">
        <v>335</v>
      </c>
      <c r="I71" s="193" t="s">
        <v>55</v>
      </c>
      <c r="J71" s="252" t="s">
        <v>9</v>
      </c>
      <c r="K71" s="253">
        <v>20.66</v>
      </c>
      <c r="L71" s="253" t="s">
        <v>280</v>
      </c>
      <c r="M71" s="254">
        <v>646637.34</v>
      </c>
      <c r="N71" s="254"/>
      <c r="O71" s="254"/>
      <c r="P71" s="587" t="s">
        <v>279</v>
      </c>
      <c r="Q71" s="450"/>
      <c r="R71" s="254"/>
      <c r="S71" s="254"/>
      <c r="T71" s="254"/>
      <c r="U71" s="254"/>
      <c r="V71" s="254"/>
      <c r="W71" s="254"/>
      <c r="X71" s="254"/>
      <c r="Y71" s="254"/>
      <c r="Z71" s="254">
        <f>+M71</f>
        <v>646637.34</v>
      </c>
      <c r="AA71" s="254"/>
      <c r="AB71" s="254"/>
      <c r="AC71" s="254"/>
      <c r="AD71" s="207">
        <f t="shared" si="9"/>
        <v>646637.34</v>
      </c>
      <c r="AE71" s="451" t="s">
        <v>334</v>
      </c>
    </row>
    <row r="72" spans="2:31" x14ac:dyDescent="0.25">
      <c r="B72" s="4"/>
      <c r="C72" s="871"/>
      <c r="D72" s="651" t="s">
        <v>43</v>
      </c>
      <c r="E72" s="251" t="s">
        <v>201</v>
      </c>
      <c r="F72" s="284">
        <v>43721</v>
      </c>
      <c r="G72" s="284" t="s">
        <v>375</v>
      </c>
      <c r="H72" s="193" t="s">
        <v>336</v>
      </c>
      <c r="I72" s="193" t="s">
        <v>55</v>
      </c>
      <c r="J72" s="252" t="s">
        <v>9</v>
      </c>
      <c r="K72" s="253">
        <v>20.66</v>
      </c>
      <c r="L72" s="253" t="s">
        <v>280</v>
      </c>
      <c r="M72" s="254">
        <v>646637.34</v>
      </c>
      <c r="N72" s="254"/>
      <c r="O72" s="254"/>
      <c r="P72" s="587" t="s">
        <v>279</v>
      </c>
      <c r="Q72" s="450"/>
      <c r="R72" s="254"/>
      <c r="S72" s="254"/>
      <c r="T72" s="254"/>
      <c r="U72" s="254"/>
      <c r="V72" s="254"/>
      <c r="W72" s="254"/>
      <c r="X72" s="254"/>
      <c r="Y72" s="254"/>
      <c r="Z72" s="254">
        <f>+M72</f>
        <v>646637.34</v>
      </c>
      <c r="AA72" s="254"/>
      <c r="AB72" s="254"/>
      <c r="AC72" s="254"/>
      <c r="AD72" s="207">
        <f t="shared" si="9"/>
        <v>646637.34</v>
      </c>
      <c r="AE72" s="451" t="s">
        <v>334</v>
      </c>
    </row>
    <row r="73" spans="2:31" x14ac:dyDescent="0.25">
      <c r="B73" s="4"/>
      <c r="C73" s="871"/>
      <c r="D73" s="651" t="s">
        <v>43</v>
      </c>
      <c r="E73" s="251" t="s">
        <v>201</v>
      </c>
      <c r="F73" s="284">
        <v>43721</v>
      </c>
      <c r="G73" s="284" t="s">
        <v>375</v>
      </c>
      <c r="H73" s="193" t="s">
        <v>337</v>
      </c>
      <c r="I73" s="193" t="s">
        <v>55</v>
      </c>
      <c r="J73" s="252" t="s">
        <v>9</v>
      </c>
      <c r="K73" s="253">
        <v>20.66</v>
      </c>
      <c r="L73" s="253" t="s">
        <v>280</v>
      </c>
      <c r="M73" s="254">
        <v>646637.34</v>
      </c>
      <c r="N73" s="254"/>
      <c r="O73" s="254"/>
      <c r="P73" s="587" t="s">
        <v>279</v>
      </c>
      <c r="Q73" s="450"/>
      <c r="R73" s="254"/>
      <c r="S73" s="254"/>
      <c r="T73" s="254"/>
      <c r="U73" s="254"/>
      <c r="V73" s="254"/>
      <c r="W73" s="254"/>
      <c r="X73" s="254"/>
      <c r="Y73" s="254"/>
      <c r="Z73" s="254">
        <f>+M73</f>
        <v>646637.34</v>
      </c>
      <c r="AA73" s="254"/>
      <c r="AB73" s="254"/>
      <c r="AC73" s="254"/>
      <c r="AD73" s="207">
        <f t="shared" si="9"/>
        <v>646637.34</v>
      </c>
      <c r="AE73" s="451" t="s">
        <v>334</v>
      </c>
    </row>
    <row r="74" spans="2:31" x14ac:dyDescent="0.25">
      <c r="B74" s="4"/>
      <c r="C74" s="871"/>
      <c r="D74" s="651" t="s">
        <v>43</v>
      </c>
      <c r="E74" s="251" t="s">
        <v>201</v>
      </c>
      <c r="F74" s="284">
        <v>43721</v>
      </c>
      <c r="G74" s="284" t="s">
        <v>375</v>
      </c>
      <c r="H74" s="193" t="s">
        <v>330</v>
      </c>
      <c r="I74" s="193" t="s">
        <v>55</v>
      </c>
      <c r="J74" s="252" t="s">
        <v>9</v>
      </c>
      <c r="K74" s="253">
        <v>20.66</v>
      </c>
      <c r="L74" s="253" t="s">
        <v>280</v>
      </c>
      <c r="M74" s="254">
        <v>646637.34</v>
      </c>
      <c r="N74" s="254"/>
      <c r="O74" s="254"/>
      <c r="P74" s="587" t="s">
        <v>279</v>
      </c>
      <c r="Q74" s="450"/>
      <c r="R74" s="254"/>
      <c r="S74" s="254"/>
      <c r="T74" s="254"/>
      <c r="U74" s="254"/>
      <c r="V74" s="254"/>
      <c r="W74" s="254"/>
      <c r="X74" s="254"/>
      <c r="Y74" s="254"/>
      <c r="Z74" s="254">
        <f>+M74</f>
        <v>646637.34</v>
      </c>
      <c r="AA74" s="254"/>
      <c r="AB74" s="254"/>
      <c r="AC74" s="254"/>
      <c r="AD74" s="207">
        <f t="shared" si="9"/>
        <v>646637.34</v>
      </c>
      <c r="AE74" s="451" t="s">
        <v>334</v>
      </c>
    </row>
    <row r="75" spans="2:31" x14ac:dyDescent="0.25">
      <c r="B75" s="4"/>
      <c r="C75" s="871"/>
      <c r="D75" s="651" t="s">
        <v>43</v>
      </c>
      <c r="E75" s="251" t="s">
        <v>201</v>
      </c>
      <c r="F75" s="284">
        <v>43721</v>
      </c>
      <c r="G75" s="284" t="s">
        <v>375</v>
      </c>
      <c r="H75" s="193" t="s">
        <v>112</v>
      </c>
      <c r="I75" s="193" t="s">
        <v>54</v>
      </c>
      <c r="J75" s="252" t="s">
        <v>6</v>
      </c>
      <c r="K75" s="253">
        <v>46.62</v>
      </c>
      <c r="L75" s="253" t="s">
        <v>280</v>
      </c>
      <c r="M75" s="254">
        <v>2167830</v>
      </c>
      <c r="N75" s="254">
        <f t="shared" si="8"/>
        <v>46500</v>
      </c>
      <c r="O75" s="254">
        <v>2329535</v>
      </c>
      <c r="P75" s="587">
        <f>+(M75-O75)/O75</f>
        <v>-6.9415140789900132E-2</v>
      </c>
      <c r="Q75" s="450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>
        <f>+M75</f>
        <v>2167830</v>
      </c>
      <c r="AC75" s="254"/>
      <c r="AD75" s="207">
        <f t="shared" si="9"/>
        <v>2167830</v>
      </c>
      <c r="AE75" s="451" t="s">
        <v>334</v>
      </c>
    </row>
    <row r="76" spans="2:31" x14ac:dyDescent="0.25">
      <c r="B76" s="4"/>
      <c r="C76" s="871"/>
      <c r="D76" s="651" t="s">
        <v>43</v>
      </c>
      <c r="E76" s="251" t="s">
        <v>201</v>
      </c>
      <c r="F76" s="284">
        <v>43721</v>
      </c>
      <c r="G76" s="284" t="s">
        <v>375</v>
      </c>
      <c r="H76" s="193" t="s">
        <v>338</v>
      </c>
      <c r="I76" s="193" t="s">
        <v>55</v>
      </c>
      <c r="J76" s="252" t="s">
        <v>6</v>
      </c>
      <c r="K76" s="253">
        <v>19.899999999999999</v>
      </c>
      <c r="L76" s="253" t="s">
        <v>280</v>
      </c>
      <c r="M76" s="254">
        <v>686550</v>
      </c>
      <c r="N76" s="254"/>
      <c r="O76" s="254"/>
      <c r="P76" s="587" t="s">
        <v>279</v>
      </c>
      <c r="Q76" s="450"/>
      <c r="R76" s="254"/>
      <c r="S76" s="254"/>
      <c r="T76" s="254"/>
      <c r="U76" s="254"/>
      <c r="V76" s="254"/>
      <c r="W76" s="254"/>
      <c r="X76" s="254"/>
      <c r="Y76" s="254"/>
      <c r="Z76" s="254">
        <f t="shared" ref="Z76:Z86" si="10">+M76</f>
        <v>686550</v>
      </c>
      <c r="AA76" s="254"/>
      <c r="AB76" s="254"/>
      <c r="AC76" s="254"/>
      <c r="AD76" s="207">
        <f t="shared" si="9"/>
        <v>686550</v>
      </c>
      <c r="AE76" s="451" t="s">
        <v>334</v>
      </c>
    </row>
    <row r="77" spans="2:31" x14ac:dyDescent="0.25">
      <c r="B77" s="4"/>
      <c r="C77" s="871"/>
      <c r="D77" s="651" t="s">
        <v>43</v>
      </c>
      <c r="E77" s="251" t="s">
        <v>201</v>
      </c>
      <c r="F77" s="284">
        <v>43721</v>
      </c>
      <c r="G77" s="284" t="s">
        <v>375</v>
      </c>
      <c r="H77" s="193" t="s">
        <v>154</v>
      </c>
      <c r="I77" s="193" t="s">
        <v>54</v>
      </c>
      <c r="J77" s="252" t="s">
        <v>44</v>
      </c>
      <c r="K77" s="253">
        <v>35.78</v>
      </c>
      <c r="L77" s="253" t="s">
        <v>280</v>
      </c>
      <c r="M77" s="254">
        <v>1471664</v>
      </c>
      <c r="N77" s="254">
        <f t="shared" si="8"/>
        <v>41130.9111235327</v>
      </c>
      <c r="O77" s="622">
        <v>1471664</v>
      </c>
      <c r="P77" s="623">
        <f>+(M77-O77)/O77</f>
        <v>0</v>
      </c>
      <c r="Q77" s="450"/>
      <c r="R77" s="254"/>
      <c r="S77" s="254"/>
      <c r="T77" s="254"/>
      <c r="U77" s="254"/>
      <c r="V77" s="254"/>
      <c r="W77" s="254"/>
      <c r="X77" s="254"/>
      <c r="Y77" s="254"/>
      <c r="Z77" s="254">
        <f t="shared" si="10"/>
        <v>1471664</v>
      </c>
      <c r="AA77" s="254"/>
      <c r="AB77" s="254"/>
      <c r="AC77" s="254"/>
      <c r="AD77" s="207">
        <f t="shared" si="9"/>
        <v>1471664</v>
      </c>
      <c r="AE77" s="451" t="s">
        <v>334</v>
      </c>
    </row>
    <row r="78" spans="2:31" x14ac:dyDescent="0.25">
      <c r="B78" s="4"/>
      <c r="C78" s="871"/>
      <c r="D78" s="651" t="s">
        <v>43</v>
      </c>
      <c r="E78" s="251" t="s">
        <v>201</v>
      </c>
      <c r="F78" s="284">
        <v>43721</v>
      </c>
      <c r="G78" s="284" t="s">
        <v>375</v>
      </c>
      <c r="H78" s="193" t="s">
        <v>271</v>
      </c>
      <c r="I78" s="193" t="s">
        <v>54</v>
      </c>
      <c r="J78" s="252" t="s">
        <v>44</v>
      </c>
      <c r="K78" s="253">
        <v>35.78</v>
      </c>
      <c r="L78" s="253" t="s">
        <v>280</v>
      </c>
      <c r="M78" s="254">
        <v>1471664</v>
      </c>
      <c r="N78" s="254">
        <f t="shared" si="8"/>
        <v>41130.9111235327</v>
      </c>
      <c r="O78" s="622">
        <v>1471664</v>
      </c>
      <c r="P78" s="623">
        <f>+(M78-O78)/O78</f>
        <v>0</v>
      </c>
      <c r="Q78" s="450"/>
      <c r="R78" s="254"/>
      <c r="S78" s="254"/>
      <c r="T78" s="254"/>
      <c r="U78" s="254"/>
      <c r="V78" s="254"/>
      <c r="W78" s="254"/>
      <c r="X78" s="254"/>
      <c r="Y78" s="254"/>
      <c r="Z78" s="254">
        <f t="shared" si="10"/>
        <v>1471664</v>
      </c>
      <c r="AA78" s="254"/>
      <c r="AB78" s="254"/>
      <c r="AC78" s="254"/>
      <c r="AD78" s="207">
        <f t="shared" si="9"/>
        <v>1471664</v>
      </c>
      <c r="AE78" s="451" t="s">
        <v>334</v>
      </c>
    </row>
    <row r="79" spans="2:31" x14ac:dyDescent="0.25">
      <c r="B79" s="4"/>
      <c r="C79" s="871"/>
      <c r="D79" s="651" t="s">
        <v>43</v>
      </c>
      <c r="E79" s="251" t="s">
        <v>201</v>
      </c>
      <c r="F79" s="284">
        <v>43721</v>
      </c>
      <c r="G79" s="284" t="s">
        <v>375</v>
      </c>
      <c r="H79" s="193" t="s">
        <v>273</v>
      </c>
      <c r="I79" s="193" t="s">
        <v>54</v>
      </c>
      <c r="J79" s="252" t="s">
        <v>44</v>
      </c>
      <c r="K79" s="253">
        <v>35.78</v>
      </c>
      <c r="L79" s="253" t="s">
        <v>280</v>
      </c>
      <c r="M79" s="254">
        <v>1471664</v>
      </c>
      <c r="N79" s="254">
        <f t="shared" si="8"/>
        <v>41130.9111235327</v>
      </c>
      <c r="O79" s="622">
        <v>1471664</v>
      </c>
      <c r="P79" s="623">
        <f>+(M79-O79)/O79</f>
        <v>0</v>
      </c>
      <c r="Q79" s="450"/>
      <c r="R79" s="254"/>
      <c r="S79" s="254"/>
      <c r="T79" s="254"/>
      <c r="U79" s="254"/>
      <c r="V79" s="254"/>
      <c r="W79" s="254"/>
      <c r="X79" s="254"/>
      <c r="Y79" s="254"/>
      <c r="Z79" s="254">
        <f t="shared" si="10"/>
        <v>1471664</v>
      </c>
      <c r="AA79" s="254"/>
      <c r="AB79" s="254"/>
      <c r="AC79" s="254"/>
      <c r="AD79" s="207">
        <f t="shared" si="9"/>
        <v>1471664</v>
      </c>
      <c r="AE79" s="451" t="s">
        <v>334</v>
      </c>
    </row>
    <row r="80" spans="2:31" x14ac:dyDescent="0.25">
      <c r="B80" s="4"/>
      <c r="C80" s="871"/>
      <c r="D80" s="651" t="s">
        <v>43</v>
      </c>
      <c r="E80" s="251" t="s">
        <v>201</v>
      </c>
      <c r="F80" s="284">
        <v>43721</v>
      </c>
      <c r="G80" s="284" t="s">
        <v>375</v>
      </c>
      <c r="H80" s="193" t="s">
        <v>339</v>
      </c>
      <c r="I80" s="193" t="s">
        <v>54</v>
      </c>
      <c r="J80" s="252" t="s">
        <v>44</v>
      </c>
      <c r="K80" s="253">
        <v>35.78</v>
      </c>
      <c r="L80" s="253" t="s">
        <v>280</v>
      </c>
      <c r="M80" s="254">
        <v>1471664</v>
      </c>
      <c r="N80" s="254">
        <f t="shared" si="8"/>
        <v>41130.9111235327</v>
      </c>
      <c r="O80" s="622">
        <v>1471664</v>
      </c>
      <c r="P80" s="623">
        <f>+(M80-O80)/O80</f>
        <v>0</v>
      </c>
      <c r="Q80" s="450"/>
      <c r="R80" s="254"/>
      <c r="S80" s="254"/>
      <c r="T80" s="254"/>
      <c r="U80" s="254"/>
      <c r="V80" s="254"/>
      <c r="W80" s="254"/>
      <c r="X80" s="254"/>
      <c r="Y80" s="254"/>
      <c r="Z80" s="254">
        <f t="shared" si="10"/>
        <v>1471664</v>
      </c>
      <c r="AA80" s="254"/>
      <c r="AB80" s="254"/>
      <c r="AC80" s="254"/>
      <c r="AD80" s="207">
        <f t="shared" si="9"/>
        <v>1471664</v>
      </c>
      <c r="AE80" s="451" t="s">
        <v>334</v>
      </c>
    </row>
    <row r="81" spans="2:31" x14ac:dyDescent="0.25">
      <c r="B81" s="4"/>
      <c r="C81" s="871"/>
      <c r="D81" s="651" t="s">
        <v>43</v>
      </c>
      <c r="E81" s="251" t="s">
        <v>201</v>
      </c>
      <c r="F81" s="284">
        <v>43721</v>
      </c>
      <c r="G81" s="284" t="s">
        <v>375</v>
      </c>
      <c r="H81" s="193" t="s">
        <v>340</v>
      </c>
      <c r="I81" s="193" t="s">
        <v>55</v>
      </c>
      <c r="J81" s="252" t="s">
        <v>44</v>
      </c>
      <c r="K81" s="253">
        <v>20.32</v>
      </c>
      <c r="L81" s="253" t="s">
        <v>280</v>
      </c>
      <c r="M81" s="254">
        <v>639024.44759999996</v>
      </c>
      <c r="N81" s="254"/>
      <c r="O81" s="254"/>
      <c r="P81" s="254" t="s">
        <v>279</v>
      </c>
      <c r="Q81" s="450"/>
      <c r="R81" s="254"/>
      <c r="S81" s="254"/>
      <c r="T81" s="254"/>
      <c r="U81" s="254"/>
      <c r="V81" s="254"/>
      <c r="W81" s="254"/>
      <c r="X81" s="254"/>
      <c r="Y81" s="254"/>
      <c r="Z81" s="254">
        <f t="shared" si="10"/>
        <v>639024.44759999996</v>
      </c>
      <c r="AA81" s="254"/>
      <c r="AB81" s="254"/>
      <c r="AC81" s="254"/>
      <c r="AD81" s="207">
        <f t="shared" si="9"/>
        <v>639024.44759999996</v>
      </c>
      <c r="AE81" s="451" t="s">
        <v>334</v>
      </c>
    </row>
    <row r="82" spans="2:31" x14ac:dyDescent="0.25">
      <c r="B82" s="4"/>
      <c r="C82" s="871"/>
      <c r="D82" s="651" t="s">
        <v>43</v>
      </c>
      <c r="E82" s="251" t="s">
        <v>201</v>
      </c>
      <c r="F82" s="284">
        <v>43721</v>
      </c>
      <c r="G82" s="284" t="s">
        <v>375</v>
      </c>
      <c r="H82" s="193" t="s">
        <v>335</v>
      </c>
      <c r="I82" s="193" t="s">
        <v>55</v>
      </c>
      <c r="J82" s="252" t="s">
        <v>44</v>
      </c>
      <c r="K82" s="253">
        <v>20.32</v>
      </c>
      <c r="L82" s="253" t="s">
        <v>280</v>
      </c>
      <c r="M82" s="254">
        <v>639024.44759999996</v>
      </c>
      <c r="N82" s="254"/>
      <c r="O82" s="254"/>
      <c r="P82" s="254" t="s">
        <v>279</v>
      </c>
      <c r="Q82" s="450"/>
      <c r="R82" s="254"/>
      <c r="S82" s="254"/>
      <c r="T82" s="254"/>
      <c r="U82" s="254"/>
      <c r="V82" s="254"/>
      <c r="W82" s="254"/>
      <c r="X82" s="254"/>
      <c r="Y82" s="254"/>
      <c r="Z82" s="254">
        <f t="shared" si="10"/>
        <v>639024.44759999996</v>
      </c>
      <c r="AA82" s="254"/>
      <c r="AB82" s="254"/>
      <c r="AC82" s="254"/>
      <c r="AD82" s="207">
        <f t="shared" si="9"/>
        <v>639024.44759999996</v>
      </c>
      <c r="AE82" s="451" t="s">
        <v>334</v>
      </c>
    </row>
    <row r="83" spans="2:31" x14ac:dyDescent="0.25">
      <c r="B83" s="4"/>
      <c r="C83" s="871"/>
      <c r="D83" s="651" t="s">
        <v>43</v>
      </c>
      <c r="E83" s="251" t="s">
        <v>201</v>
      </c>
      <c r="F83" s="284">
        <v>43721</v>
      </c>
      <c r="G83" s="284" t="s">
        <v>375</v>
      </c>
      <c r="H83" s="193" t="s">
        <v>341</v>
      </c>
      <c r="I83" s="193" t="s">
        <v>55</v>
      </c>
      <c r="J83" s="252" t="s">
        <v>44</v>
      </c>
      <c r="K83" s="253">
        <v>20.32</v>
      </c>
      <c r="L83" s="253" t="s">
        <v>280</v>
      </c>
      <c r="M83" s="254">
        <v>639024.44759999996</v>
      </c>
      <c r="N83" s="254"/>
      <c r="O83" s="254"/>
      <c r="P83" s="254" t="s">
        <v>279</v>
      </c>
      <c r="Q83" s="450"/>
      <c r="R83" s="254"/>
      <c r="S83" s="254"/>
      <c r="T83" s="254"/>
      <c r="U83" s="254"/>
      <c r="V83" s="254"/>
      <c r="W83" s="254"/>
      <c r="X83" s="254"/>
      <c r="Y83" s="254"/>
      <c r="Z83" s="254">
        <f t="shared" si="10"/>
        <v>639024.44759999996</v>
      </c>
      <c r="AA83" s="254"/>
      <c r="AB83" s="254"/>
      <c r="AC83" s="254"/>
      <c r="AD83" s="207">
        <f t="shared" si="9"/>
        <v>639024.44759999996</v>
      </c>
      <c r="AE83" s="451" t="s">
        <v>334</v>
      </c>
    </row>
    <row r="84" spans="2:31" ht="15.75" thickBot="1" x14ac:dyDescent="0.3">
      <c r="B84" s="4"/>
      <c r="C84" s="871"/>
      <c r="D84" s="651" t="s">
        <v>43</v>
      </c>
      <c r="E84" s="467" t="s">
        <v>201</v>
      </c>
      <c r="F84" s="468">
        <v>43721</v>
      </c>
      <c r="G84" s="284" t="s">
        <v>375</v>
      </c>
      <c r="H84" s="469" t="s">
        <v>336</v>
      </c>
      <c r="I84" s="469" t="s">
        <v>55</v>
      </c>
      <c r="J84" s="470" t="s">
        <v>44</v>
      </c>
      <c r="K84" s="471">
        <v>20.32</v>
      </c>
      <c r="L84" s="471" t="s">
        <v>280</v>
      </c>
      <c r="M84" s="472">
        <v>639024.44759999996</v>
      </c>
      <c r="N84" s="472"/>
      <c r="O84" s="472"/>
      <c r="P84" s="472" t="s">
        <v>279</v>
      </c>
      <c r="Q84" s="473"/>
      <c r="R84" s="472"/>
      <c r="S84" s="472"/>
      <c r="T84" s="472"/>
      <c r="U84" s="472"/>
      <c r="V84" s="472"/>
      <c r="W84" s="472"/>
      <c r="X84" s="472"/>
      <c r="Y84" s="472"/>
      <c r="Z84" s="472">
        <f t="shared" si="10"/>
        <v>639024.44759999996</v>
      </c>
      <c r="AA84" s="472"/>
      <c r="AB84" s="472"/>
      <c r="AC84" s="472"/>
      <c r="AD84" s="474">
        <f t="shared" si="9"/>
        <v>639024.44759999996</v>
      </c>
      <c r="AE84" s="475" t="s">
        <v>334</v>
      </c>
    </row>
    <row r="85" spans="2:31" s="44" customFormat="1" ht="24.75" customHeight="1" x14ac:dyDescent="0.25">
      <c r="B85" s="476"/>
      <c r="C85" s="870" t="s">
        <v>33</v>
      </c>
      <c r="D85" s="651" t="s">
        <v>43</v>
      </c>
      <c r="E85" s="17" t="s">
        <v>209</v>
      </c>
      <c r="F85" s="18">
        <v>43742</v>
      </c>
      <c r="G85" s="18" t="s">
        <v>312</v>
      </c>
      <c r="H85" s="33" t="s">
        <v>210</v>
      </c>
      <c r="I85" s="33" t="s">
        <v>54</v>
      </c>
      <c r="J85" s="19" t="s">
        <v>4</v>
      </c>
      <c r="K85" s="42">
        <v>54.44</v>
      </c>
      <c r="L85" s="42" t="s">
        <v>280</v>
      </c>
      <c r="M85" s="43">
        <v>2583594</v>
      </c>
      <c r="N85" s="43">
        <f t="shared" ref="N85:N94" si="11">+M85/K85</f>
        <v>47457.641440117564</v>
      </c>
      <c r="O85" s="43">
        <v>2636320</v>
      </c>
      <c r="P85" s="588">
        <f>+(M85-O85)/O85</f>
        <v>-1.9999848273350732E-2</v>
      </c>
      <c r="Q85" s="477"/>
      <c r="R85" s="43"/>
      <c r="S85" s="43"/>
      <c r="T85" s="43"/>
      <c r="U85" s="43"/>
      <c r="V85" s="43"/>
      <c r="W85" s="43"/>
      <c r="X85" s="43"/>
      <c r="Y85" s="43"/>
      <c r="Z85" s="43">
        <f t="shared" si="10"/>
        <v>2583594</v>
      </c>
      <c r="AA85" s="43"/>
      <c r="AB85" s="43"/>
      <c r="AC85" s="43"/>
      <c r="AD85" s="478">
        <f t="shared" si="9"/>
        <v>2583594</v>
      </c>
      <c r="AE85" s="479" t="s">
        <v>280</v>
      </c>
    </row>
    <row r="86" spans="2:31" s="44" customFormat="1" x14ac:dyDescent="0.25">
      <c r="B86" s="41"/>
      <c r="C86" s="871"/>
      <c r="D86" s="651" t="s">
        <v>43</v>
      </c>
      <c r="E86" s="17" t="s">
        <v>211</v>
      </c>
      <c r="F86" s="18">
        <v>43763</v>
      </c>
      <c r="G86" s="18" t="s">
        <v>312</v>
      </c>
      <c r="H86" s="33" t="s">
        <v>212</v>
      </c>
      <c r="I86" s="33" t="s">
        <v>54</v>
      </c>
      <c r="J86" s="19" t="s">
        <v>6</v>
      </c>
      <c r="K86" s="42">
        <v>35.700000000000003</v>
      </c>
      <c r="L86" s="42" t="s">
        <v>280</v>
      </c>
      <c r="M86" s="43">
        <v>2357025</v>
      </c>
      <c r="N86" s="43">
        <f t="shared" si="11"/>
        <v>66023.109243697472</v>
      </c>
      <c r="O86" s="43">
        <v>2357025</v>
      </c>
      <c r="P86" s="588">
        <f>+(M86-O86)/O86</f>
        <v>0</v>
      </c>
      <c r="Q86" s="477"/>
      <c r="R86" s="43"/>
      <c r="S86" s="43"/>
      <c r="T86" s="43"/>
      <c r="U86" s="43"/>
      <c r="V86" s="43"/>
      <c r="W86" s="43"/>
      <c r="X86" s="43"/>
      <c r="Y86" s="43"/>
      <c r="Z86" s="43">
        <f t="shared" si="10"/>
        <v>2357025</v>
      </c>
      <c r="AA86" s="43"/>
      <c r="AB86" s="43"/>
      <c r="AC86" s="43"/>
      <c r="AD86" s="478">
        <f t="shared" si="9"/>
        <v>2357025</v>
      </c>
      <c r="AE86" s="479" t="s">
        <v>280</v>
      </c>
    </row>
    <row r="87" spans="2:31" s="44" customFormat="1" ht="15.75" thickBot="1" x14ac:dyDescent="0.3">
      <c r="B87" s="41"/>
      <c r="C87" s="872"/>
      <c r="D87" s="651" t="s">
        <v>43</v>
      </c>
      <c r="E87" s="17" t="s">
        <v>213</v>
      </c>
      <c r="F87" s="18">
        <v>43769</v>
      </c>
      <c r="G87" s="18" t="s">
        <v>312</v>
      </c>
      <c r="H87" s="33" t="s">
        <v>214</v>
      </c>
      <c r="I87" s="33" t="s">
        <v>54</v>
      </c>
      <c r="J87" s="19" t="s">
        <v>4</v>
      </c>
      <c r="K87" s="42">
        <v>60.13</v>
      </c>
      <c r="L87" s="42" t="s">
        <v>281</v>
      </c>
      <c r="M87" s="43">
        <v>4133033</v>
      </c>
      <c r="N87" s="43">
        <f t="shared" si="11"/>
        <v>68734.957591884246</v>
      </c>
      <c r="O87" s="43">
        <v>3685001</v>
      </c>
      <c r="P87" s="588">
        <f>+(M87-O87)/O87</f>
        <v>0.12158259929915895</v>
      </c>
      <c r="Q87" s="477"/>
      <c r="R87" s="43"/>
      <c r="S87" s="43"/>
      <c r="T87" s="43"/>
      <c r="U87" s="43"/>
      <c r="V87" s="43"/>
      <c r="W87" s="43"/>
      <c r="X87" s="43"/>
      <c r="Y87" s="43"/>
      <c r="Z87" s="43">
        <v>1720000</v>
      </c>
      <c r="AA87" s="43"/>
      <c r="AB87" s="43"/>
      <c r="AC87" s="43"/>
      <c r="AD87" s="478">
        <f t="shared" si="9"/>
        <v>1720000</v>
      </c>
      <c r="AE87" s="479" t="s">
        <v>342</v>
      </c>
    </row>
    <row r="88" spans="2:31" s="44" customFormat="1" ht="15" customHeight="1" thickBot="1" x14ac:dyDescent="0.3">
      <c r="B88" s="41"/>
      <c r="C88" s="870" t="s">
        <v>34</v>
      </c>
      <c r="D88" s="651" t="s">
        <v>43</v>
      </c>
      <c r="E88" s="22" t="s">
        <v>215</v>
      </c>
      <c r="F88" s="45">
        <v>43782</v>
      </c>
      <c r="G88" s="45" t="s">
        <v>312</v>
      </c>
      <c r="H88" s="46" t="s">
        <v>216</v>
      </c>
      <c r="I88" s="46" t="s">
        <v>54</v>
      </c>
      <c r="J88" s="23" t="s">
        <v>13</v>
      </c>
      <c r="K88" s="24">
        <v>256.44</v>
      </c>
      <c r="L88" s="24" t="s">
        <v>280</v>
      </c>
      <c r="M88" s="25">
        <f>299518.504*64.5</f>
        <v>19318943.508000001</v>
      </c>
      <c r="N88" s="25">
        <f t="shared" si="11"/>
        <v>75335.140804866634</v>
      </c>
      <c r="O88" s="25">
        <f>295829*64.5</f>
        <v>19080970.5</v>
      </c>
      <c r="P88" s="591">
        <f>+(M88-O88)/O88</f>
        <v>1.2471745501624318E-2</v>
      </c>
      <c r="Q88" s="464"/>
      <c r="R88" s="25"/>
      <c r="S88" s="25"/>
      <c r="T88" s="25"/>
      <c r="U88" s="25"/>
      <c r="V88" s="25"/>
      <c r="W88" s="25"/>
      <c r="X88" s="25"/>
      <c r="Y88" s="25"/>
      <c r="Z88" s="25"/>
      <c r="AA88" s="25">
        <f>88093.6776649964*64.5</f>
        <v>5682042.2093922682</v>
      </c>
      <c r="AB88" s="25"/>
      <c r="AC88" s="25"/>
      <c r="AD88" s="420">
        <f t="shared" si="9"/>
        <v>5682042.2093922682</v>
      </c>
      <c r="AE88" s="26" t="s">
        <v>395</v>
      </c>
    </row>
    <row r="89" spans="2:31" s="44" customFormat="1" ht="15.75" thickBot="1" x14ac:dyDescent="0.3">
      <c r="B89" s="41"/>
      <c r="C89" s="871"/>
      <c r="D89" s="651" t="s">
        <v>43</v>
      </c>
      <c r="E89" s="182" t="s">
        <v>215</v>
      </c>
      <c r="F89" s="156">
        <v>43782</v>
      </c>
      <c r="G89" s="156" t="s">
        <v>312</v>
      </c>
      <c r="H89" s="189" t="s">
        <v>336</v>
      </c>
      <c r="I89" s="189" t="s">
        <v>55</v>
      </c>
      <c r="J89" s="155" t="s">
        <v>13</v>
      </c>
      <c r="K89" s="157">
        <v>35.6</v>
      </c>
      <c r="L89" s="157" t="s">
        <v>280</v>
      </c>
      <c r="M89" s="158">
        <f>19466.0374538462*64.5</f>
        <v>1255559.4157730797</v>
      </c>
      <c r="N89" s="158"/>
      <c r="O89" s="158"/>
      <c r="P89" s="158" t="s">
        <v>279</v>
      </c>
      <c r="Q89" s="452"/>
      <c r="R89" s="158"/>
      <c r="S89" s="158"/>
      <c r="T89" s="158"/>
      <c r="U89" s="158"/>
      <c r="V89" s="158"/>
      <c r="W89" s="158"/>
      <c r="X89" s="158"/>
      <c r="Y89" s="158"/>
      <c r="Z89" s="158"/>
      <c r="AA89" s="158">
        <f>5725.30513464996*64.5</f>
        <v>369282.1811849224</v>
      </c>
      <c r="AB89" s="158"/>
      <c r="AC89" s="158"/>
      <c r="AD89" s="417">
        <f t="shared" si="9"/>
        <v>369282.1811849224</v>
      </c>
      <c r="AE89" s="26" t="s">
        <v>343</v>
      </c>
    </row>
    <row r="90" spans="2:31" s="44" customFormat="1" x14ac:dyDescent="0.25">
      <c r="B90" s="41"/>
      <c r="C90" s="871"/>
      <c r="D90" s="651" t="s">
        <v>43</v>
      </c>
      <c r="E90" s="182" t="s">
        <v>215</v>
      </c>
      <c r="F90" s="156">
        <v>43782</v>
      </c>
      <c r="G90" s="156" t="s">
        <v>312</v>
      </c>
      <c r="H90" s="189" t="s">
        <v>344</v>
      </c>
      <c r="I90" s="189" t="s">
        <v>55</v>
      </c>
      <c r="J90" s="155" t="s">
        <v>13</v>
      </c>
      <c r="K90" s="157">
        <v>23.53</v>
      </c>
      <c r="L90" s="157" t="s">
        <v>280</v>
      </c>
      <c r="M90" s="158">
        <f>21015.4584769231*64.5</f>
        <v>1355497.0717615399</v>
      </c>
      <c r="N90" s="158"/>
      <c r="O90" s="158"/>
      <c r="P90" s="158" t="s">
        <v>279</v>
      </c>
      <c r="Q90" s="452"/>
      <c r="R90" s="158"/>
      <c r="S90" s="158"/>
      <c r="T90" s="158"/>
      <c r="U90" s="158"/>
      <c r="V90" s="158"/>
      <c r="W90" s="158"/>
      <c r="X90" s="158"/>
      <c r="Y90" s="158"/>
      <c r="Z90" s="158"/>
      <c r="AA90" s="158">
        <f>6181.01720035361*64.5</f>
        <v>398675.60942280781</v>
      </c>
      <c r="AB90" s="158"/>
      <c r="AC90" s="158"/>
      <c r="AD90" s="417">
        <f t="shared" si="9"/>
        <v>398675.60942280781</v>
      </c>
      <c r="AE90" s="26" t="s">
        <v>343</v>
      </c>
    </row>
    <row r="91" spans="2:31" s="44" customFormat="1" x14ac:dyDescent="0.25">
      <c r="B91" s="41"/>
      <c r="C91" s="871"/>
      <c r="D91" s="651" t="s">
        <v>43</v>
      </c>
      <c r="E91" s="182" t="s">
        <v>217</v>
      </c>
      <c r="F91" s="156">
        <v>43789</v>
      </c>
      <c r="G91" s="156" t="s">
        <v>312</v>
      </c>
      <c r="H91" s="189" t="s">
        <v>218</v>
      </c>
      <c r="I91" s="189" t="s">
        <v>54</v>
      </c>
      <c r="J91" s="155" t="s">
        <v>6</v>
      </c>
      <c r="K91" s="157">
        <v>40.86</v>
      </c>
      <c r="L91" s="157" t="s">
        <v>280</v>
      </c>
      <c r="M91" s="158">
        <f>38500*67</f>
        <v>2579500</v>
      </c>
      <c r="N91" s="158">
        <f t="shared" si="11"/>
        <v>63130.200685266762</v>
      </c>
      <c r="O91" s="158">
        <v>2757069</v>
      </c>
      <c r="P91" s="585">
        <f t="shared" ref="P91:P96" si="12">+(M91-O91)/O91</f>
        <v>-6.4404989501532242E-2</v>
      </c>
      <c r="Q91" s="452"/>
      <c r="R91" s="158"/>
      <c r="S91" s="158"/>
      <c r="T91" s="158"/>
      <c r="U91" s="158"/>
      <c r="V91" s="158"/>
      <c r="W91" s="158"/>
      <c r="X91" s="158"/>
      <c r="Y91" s="158"/>
      <c r="Z91" s="158"/>
      <c r="AA91" s="158">
        <f>38500*67</f>
        <v>2579500</v>
      </c>
      <c r="AB91" s="158"/>
      <c r="AC91" s="158"/>
      <c r="AD91" s="417">
        <f t="shared" si="9"/>
        <v>2579500</v>
      </c>
      <c r="AE91" s="421" t="s">
        <v>345</v>
      </c>
    </row>
    <row r="92" spans="2:31" s="44" customFormat="1" x14ac:dyDescent="0.25">
      <c r="B92" s="41"/>
      <c r="C92" s="871"/>
      <c r="D92" s="651" t="s">
        <v>43</v>
      </c>
      <c r="E92" s="185" t="s">
        <v>217</v>
      </c>
      <c r="F92" s="269">
        <v>43789</v>
      </c>
      <c r="G92" s="269" t="s">
        <v>312</v>
      </c>
      <c r="H92" s="189" t="s">
        <v>195</v>
      </c>
      <c r="I92" s="189" t="s">
        <v>54</v>
      </c>
      <c r="J92" s="155" t="s">
        <v>6</v>
      </c>
      <c r="K92" s="157">
        <v>40.86</v>
      </c>
      <c r="L92" s="157" t="s">
        <v>280</v>
      </c>
      <c r="M92" s="158">
        <f>38500*67</f>
        <v>2579500</v>
      </c>
      <c r="N92" s="187">
        <f t="shared" si="11"/>
        <v>63130.200685266762</v>
      </c>
      <c r="O92" s="187">
        <v>2757069</v>
      </c>
      <c r="P92" s="585">
        <f t="shared" si="12"/>
        <v>-6.4404989501532242E-2</v>
      </c>
      <c r="Q92" s="453"/>
      <c r="R92" s="187"/>
      <c r="S92" s="187"/>
      <c r="T92" s="187"/>
      <c r="U92" s="187"/>
      <c r="V92" s="187"/>
      <c r="W92" s="187"/>
      <c r="X92" s="187"/>
      <c r="Y92" s="187"/>
      <c r="Z92" s="187"/>
      <c r="AA92" s="158">
        <f>38500*67</f>
        <v>2579500</v>
      </c>
      <c r="AB92" s="187"/>
      <c r="AC92" s="187"/>
      <c r="AD92" s="417">
        <f t="shared" si="9"/>
        <v>2579500</v>
      </c>
      <c r="AE92" s="421" t="s">
        <v>345</v>
      </c>
    </row>
    <row r="93" spans="2:31" s="44" customFormat="1" ht="15.75" thickBot="1" x14ac:dyDescent="0.3">
      <c r="B93" s="41"/>
      <c r="C93" s="871"/>
      <c r="D93" s="651" t="s">
        <v>43</v>
      </c>
      <c r="E93" s="185" t="s">
        <v>219</v>
      </c>
      <c r="F93" s="269">
        <v>43797</v>
      </c>
      <c r="G93" s="269" t="s">
        <v>60</v>
      </c>
      <c r="H93" s="480" t="s">
        <v>95</v>
      </c>
      <c r="I93" s="480" t="s">
        <v>54</v>
      </c>
      <c r="J93" s="242" t="s">
        <v>6</v>
      </c>
      <c r="K93" s="243">
        <v>74.5</v>
      </c>
      <c r="L93" s="243" t="s">
        <v>280</v>
      </c>
      <c r="M93" s="187">
        <v>3264966</v>
      </c>
      <c r="N93" s="187">
        <f t="shared" si="11"/>
        <v>43825.046979865772</v>
      </c>
      <c r="O93" s="187">
        <v>4836987</v>
      </c>
      <c r="P93" s="585">
        <f t="shared" si="12"/>
        <v>-0.32500004651656084</v>
      </c>
      <c r="Q93" s="453"/>
      <c r="R93" s="187"/>
      <c r="S93" s="187"/>
      <c r="T93" s="187"/>
      <c r="U93" s="187"/>
      <c r="V93" s="187"/>
      <c r="W93" s="187"/>
      <c r="X93" s="187"/>
      <c r="Y93" s="187"/>
      <c r="Z93" s="187"/>
      <c r="AA93" s="187">
        <v>3264966</v>
      </c>
      <c r="AB93" s="187"/>
      <c r="AC93" s="187"/>
      <c r="AD93" s="436">
        <f t="shared" si="9"/>
        <v>3264966</v>
      </c>
      <c r="AE93" s="437" t="s">
        <v>346</v>
      </c>
    </row>
    <row r="94" spans="2:31" s="44" customFormat="1" x14ac:dyDescent="0.25">
      <c r="B94" s="41"/>
      <c r="C94" s="932" t="s">
        <v>35</v>
      </c>
      <c r="D94" s="651" t="s">
        <v>43</v>
      </c>
      <c r="E94" s="286" t="s">
        <v>220</v>
      </c>
      <c r="F94" s="287">
        <v>43805</v>
      </c>
      <c r="G94" s="287" t="s">
        <v>312</v>
      </c>
      <c r="H94" s="214" t="s">
        <v>221</v>
      </c>
      <c r="I94" s="214" t="s">
        <v>54</v>
      </c>
      <c r="J94" s="288" t="s">
        <v>13</v>
      </c>
      <c r="K94" s="289">
        <v>256.44</v>
      </c>
      <c r="L94" s="289" t="s">
        <v>280</v>
      </c>
      <c r="M94" s="63">
        <f>295829*67</f>
        <v>19820543</v>
      </c>
      <c r="N94" s="63">
        <f t="shared" si="11"/>
        <v>77291.151926376537</v>
      </c>
      <c r="O94" s="63">
        <f>295827*67</f>
        <v>19820409</v>
      </c>
      <c r="P94" s="594">
        <f t="shared" si="12"/>
        <v>6.7607081165681293E-6</v>
      </c>
      <c r="Q94" s="481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>
        <f>+M94</f>
        <v>19820543</v>
      </c>
      <c r="AC94" s="63"/>
      <c r="AD94" s="64">
        <f>SUM(Q94:AC94)</f>
        <v>19820543</v>
      </c>
      <c r="AE94" s="65" t="s">
        <v>59</v>
      </c>
    </row>
    <row r="95" spans="2:31" s="44" customFormat="1" x14ac:dyDescent="0.25">
      <c r="B95" s="41"/>
      <c r="C95" s="933"/>
      <c r="D95" s="651" t="s">
        <v>43</v>
      </c>
      <c r="E95" s="260" t="s">
        <v>222</v>
      </c>
      <c r="F95" s="272">
        <v>43826</v>
      </c>
      <c r="G95" s="272" t="s">
        <v>312</v>
      </c>
      <c r="H95" s="223" t="s">
        <v>207</v>
      </c>
      <c r="I95" s="223" t="s">
        <v>54</v>
      </c>
      <c r="J95" s="222" t="s">
        <v>4</v>
      </c>
      <c r="K95" s="290">
        <v>47.77</v>
      </c>
      <c r="L95" s="290" t="s">
        <v>281</v>
      </c>
      <c r="M95" s="49">
        <v>3968726</v>
      </c>
      <c r="N95" s="49">
        <f>+M95/K95</f>
        <v>83079.882771613979</v>
      </c>
      <c r="O95" s="49">
        <v>3370733</v>
      </c>
      <c r="P95" s="592">
        <f t="shared" si="12"/>
        <v>0.17740740663825941</v>
      </c>
      <c r="Q95" s="482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>
        <f>10000*80+3600*80+800*86</f>
        <v>1156800</v>
      </c>
      <c r="AC95" s="49"/>
      <c r="AD95" s="204">
        <f>SUM(Q95:AC95)</f>
        <v>1156800</v>
      </c>
      <c r="AE95" s="227" t="s">
        <v>223</v>
      </c>
    </row>
    <row r="96" spans="2:31" s="44" customFormat="1" ht="15.75" thickBot="1" x14ac:dyDescent="0.3">
      <c r="B96" s="41"/>
      <c r="C96" s="934"/>
      <c r="D96" s="652" t="s">
        <v>43</v>
      </c>
      <c r="E96" s="12" t="s">
        <v>224</v>
      </c>
      <c r="F96" s="66">
        <v>43829</v>
      </c>
      <c r="G96" s="66" t="s">
        <v>312</v>
      </c>
      <c r="H96" s="67" t="s">
        <v>225</v>
      </c>
      <c r="I96" s="67" t="s">
        <v>54</v>
      </c>
      <c r="J96" s="3" t="s">
        <v>4</v>
      </c>
      <c r="K96" s="68">
        <v>60.13</v>
      </c>
      <c r="L96" s="68" t="s">
        <v>281</v>
      </c>
      <c r="M96" s="69">
        <v>5245374</v>
      </c>
      <c r="N96" s="69">
        <f>+M96/K96</f>
        <v>87233.893231332113</v>
      </c>
      <c r="O96" s="69">
        <v>4119297</v>
      </c>
      <c r="P96" s="593">
        <f t="shared" si="12"/>
        <v>0.27336630497873787</v>
      </c>
      <c r="Q96" s="484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>
        <v>1580000</v>
      </c>
      <c r="AC96" s="69"/>
      <c r="AD96" s="485">
        <f>SUM(Q96:AC96)</f>
        <v>1580000</v>
      </c>
      <c r="AE96" s="486" t="s">
        <v>347</v>
      </c>
    </row>
    <row r="97" spans="2:33" x14ac:dyDescent="0.25">
      <c r="B97" s="4"/>
      <c r="C97" s="285"/>
      <c r="D97" s="285"/>
      <c r="E97" s="36"/>
      <c r="F97" s="35"/>
      <c r="G97" s="35"/>
      <c r="H97" s="36"/>
      <c r="I97" s="36"/>
      <c r="J97" s="36"/>
      <c r="K97" s="36"/>
      <c r="L97" s="36"/>
      <c r="M97" s="37"/>
      <c r="N97" s="38"/>
      <c r="O97" s="38"/>
      <c r="P97" s="38"/>
      <c r="Q97" s="38"/>
      <c r="R97" s="487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9"/>
      <c r="AF97" s="488"/>
    </row>
    <row r="98" spans="2:33" x14ac:dyDescent="0.25">
      <c r="B98" s="2"/>
      <c r="K98" s="14">
        <f>SUM(K5:K97)</f>
        <v>4899.1099999999988</v>
      </c>
      <c r="L98" s="14"/>
      <c r="M98" s="8">
        <f>SUM(M5:M97)</f>
        <v>222354272.56593472</v>
      </c>
      <c r="P98" s="8"/>
      <c r="Q98" s="8">
        <f t="shared" ref="Q98:AC98" si="13">SUM(Q5:Q97)</f>
        <v>81915</v>
      </c>
      <c r="R98" s="8">
        <f t="shared" si="13"/>
        <v>4202000</v>
      </c>
      <c r="S98" s="8">
        <f t="shared" si="13"/>
        <v>415000</v>
      </c>
      <c r="T98" s="8">
        <f t="shared" si="13"/>
        <v>13018277</v>
      </c>
      <c r="U98" s="8">
        <f t="shared" si="13"/>
        <v>400000</v>
      </c>
      <c r="V98" s="8">
        <f t="shared" si="13"/>
        <v>8432500</v>
      </c>
      <c r="W98" s="8">
        <f t="shared" si="13"/>
        <v>13547081.109999999</v>
      </c>
      <c r="X98" s="8">
        <f t="shared" si="13"/>
        <v>14202776</v>
      </c>
      <c r="Y98" s="8">
        <f t="shared" si="13"/>
        <v>14441971.310000001</v>
      </c>
      <c r="Z98" s="8">
        <f t="shared" si="13"/>
        <v>25281615.150399998</v>
      </c>
      <c r="AA98" s="8">
        <f t="shared" si="13"/>
        <v>16231741.999999998</v>
      </c>
      <c r="AB98" s="8">
        <f t="shared" si="13"/>
        <v>40981394</v>
      </c>
      <c r="AC98" s="8">
        <f t="shared" si="13"/>
        <v>0</v>
      </c>
      <c r="AD98" s="13">
        <f>SUM(Q98:AC98)</f>
        <v>151236271.5704</v>
      </c>
      <c r="AE98" s="10">
        <f>+SUM(AD5:AD97)-AD98</f>
        <v>0</v>
      </c>
    </row>
    <row r="99" spans="2:33" x14ac:dyDescent="0.25">
      <c r="B99" s="2"/>
      <c r="K99" s="14"/>
      <c r="L99" s="14"/>
      <c r="AD99" s="58"/>
      <c r="AE99" s="10"/>
    </row>
    <row r="100" spans="2:33" x14ac:dyDescent="0.25">
      <c r="B100" s="2"/>
      <c r="K100" s="14"/>
      <c r="L100" s="14"/>
      <c r="AD100" s="58"/>
      <c r="AE100" s="10"/>
    </row>
    <row r="101" spans="2:33" x14ac:dyDescent="0.25">
      <c r="B101" s="2"/>
      <c r="K101" s="219"/>
      <c r="L101" s="219"/>
      <c r="AD101" s="58"/>
      <c r="AE101" s="10"/>
    </row>
    <row r="102" spans="2:33" x14ac:dyDescent="0.25">
      <c r="B102" s="2"/>
      <c r="K102" s="14"/>
      <c r="L102" s="14"/>
      <c r="AD102" s="58"/>
      <c r="AE102" s="10"/>
    </row>
    <row r="103" spans="2:33" x14ac:dyDescent="0.25">
      <c r="B103" s="2"/>
      <c r="E103" s="54"/>
      <c r="K103" s="14"/>
      <c r="L103" s="14"/>
      <c r="AD103" s="58"/>
      <c r="AE103" s="10"/>
    </row>
    <row r="104" spans="2:33" x14ac:dyDescent="0.25">
      <c r="B104" s="2"/>
      <c r="E104" s="54"/>
      <c r="K104" s="14"/>
      <c r="L104" s="14"/>
      <c r="AD104" s="58"/>
      <c r="AE104" s="10"/>
    </row>
    <row r="105" spans="2:33" ht="15.75" thickBot="1" x14ac:dyDescent="0.3">
      <c r="B105" s="2"/>
      <c r="E105" s="54"/>
      <c r="K105" s="14"/>
      <c r="L105" s="14"/>
      <c r="O105" s="489">
        <v>43830</v>
      </c>
      <c r="AD105" s="58"/>
      <c r="AE105" s="10"/>
    </row>
    <row r="106" spans="2:33" x14ac:dyDescent="0.25">
      <c r="B106" s="2"/>
      <c r="E106" s="54"/>
      <c r="F106" s="132"/>
      <c r="G106" s="74"/>
      <c r="H106" s="73"/>
      <c r="I106" s="634"/>
      <c r="J106" s="73"/>
      <c r="K106" s="75"/>
      <c r="L106" s="75"/>
      <c r="M106" s="59"/>
      <c r="N106" s="59"/>
      <c r="O106" s="614"/>
      <c r="AD106" s="58"/>
      <c r="AE106" s="10"/>
    </row>
    <row r="107" spans="2:33" ht="15" customHeight="1" x14ac:dyDescent="0.25">
      <c r="B107" s="2"/>
      <c r="E107" s="54"/>
      <c r="F107" s="133"/>
      <c r="G107" s="798" t="s">
        <v>348</v>
      </c>
      <c r="H107" s="798"/>
      <c r="I107" s="798"/>
      <c r="J107" s="798"/>
      <c r="K107" s="798"/>
      <c r="L107" s="798"/>
      <c r="M107" s="798"/>
      <c r="N107" s="798"/>
      <c r="O107" s="615"/>
      <c r="AD107" s="58"/>
      <c r="AE107" s="10"/>
    </row>
    <row r="108" spans="2:33" ht="15" customHeight="1" x14ac:dyDescent="0.25">
      <c r="B108" s="2"/>
      <c r="E108" s="54"/>
      <c r="F108" s="133"/>
      <c r="G108" s="131"/>
      <c r="H108" s="131"/>
      <c r="I108" s="131"/>
      <c r="J108" s="131"/>
      <c r="K108" s="131"/>
      <c r="L108" s="131"/>
      <c r="M108" s="131"/>
      <c r="N108" s="131"/>
      <c r="O108" s="616"/>
      <c r="AD108" s="58"/>
      <c r="AE108" s="10"/>
    </row>
    <row r="109" spans="2:33" ht="15.75" thickBot="1" x14ac:dyDescent="0.3">
      <c r="B109" s="2"/>
      <c r="E109" s="54"/>
      <c r="F109" s="134"/>
      <c r="G109" s="80"/>
      <c r="H109" s="79"/>
      <c r="I109" s="635"/>
      <c r="J109" s="79"/>
      <c r="K109" s="79"/>
      <c r="L109" s="79"/>
      <c r="M109" s="61"/>
      <c r="N109" s="61"/>
      <c r="O109" s="620"/>
      <c r="P109" s="8"/>
      <c r="AC109"/>
      <c r="AF109" s="6"/>
    </row>
    <row r="110" spans="2:33" ht="15.75" thickBot="1" x14ac:dyDescent="0.3">
      <c r="B110" s="2"/>
      <c r="E110" s="54"/>
      <c r="F110" s="134"/>
      <c r="G110" s="80"/>
      <c r="H110" s="79"/>
      <c r="I110" s="635"/>
      <c r="J110" s="79"/>
      <c r="K110" s="618" t="s">
        <v>349</v>
      </c>
      <c r="L110" s="619"/>
      <c r="M110" s="491">
        <f>+SUM(AB94:AB96)</f>
        <v>22557343</v>
      </c>
      <c r="N110" s="61"/>
      <c r="O110" s="620"/>
      <c r="P110" s="8"/>
      <c r="AC110"/>
      <c r="AD110" s="2"/>
    </row>
    <row r="111" spans="2:33" ht="15.75" thickBot="1" x14ac:dyDescent="0.3">
      <c r="B111" s="2"/>
      <c r="E111" s="54"/>
      <c r="F111" s="135"/>
      <c r="G111" s="80"/>
      <c r="H111" s="79"/>
      <c r="I111" s="81"/>
      <c r="J111" s="81"/>
      <c r="K111" s="81"/>
      <c r="L111" s="81"/>
      <c r="M111" s="61"/>
      <c r="N111" s="61"/>
      <c r="O111" s="620"/>
      <c r="P111" s="8"/>
      <c r="AC111"/>
      <c r="AD111" s="2"/>
      <c r="AG111" s="2"/>
    </row>
    <row r="112" spans="2:33" ht="15.75" thickBot="1" x14ac:dyDescent="0.3">
      <c r="B112" s="2"/>
      <c r="E112" s="54"/>
      <c r="F112" s="134"/>
      <c r="G112" s="80"/>
      <c r="H112" s="79"/>
      <c r="I112" s="807" t="s">
        <v>350</v>
      </c>
      <c r="J112" s="808"/>
      <c r="K112" s="493">
        <f>+M98</f>
        <v>222354272.56593472</v>
      </c>
      <c r="L112" s="81"/>
      <c r="M112" s="61"/>
      <c r="N112" s="61"/>
      <c r="O112" s="620"/>
      <c r="P112" s="8"/>
      <c r="AC112"/>
      <c r="AD112" s="2"/>
      <c r="AG112" s="2"/>
    </row>
    <row r="113" spans="1:33" ht="15.75" thickBot="1" x14ac:dyDescent="0.3">
      <c r="B113" s="2"/>
      <c r="E113" s="54"/>
      <c r="F113" s="134"/>
      <c r="G113" s="80"/>
      <c r="H113" s="79"/>
      <c r="I113" s="807" t="s">
        <v>42</v>
      </c>
      <c r="J113" s="808"/>
      <c r="K113" s="493">
        <f>+AD98</f>
        <v>151236271.5704</v>
      </c>
      <c r="L113" s="81"/>
      <c r="M113" s="61"/>
      <c r="N113" s="61"/>
      <c r="O113" s="620"/>
      <c r="P113" s="8"/>
      <c r="AC113"/>
      <c r="AD113" s="2"/>
      <c r="AG113" s="2"/>
    </row>
    <row r="114" spans="1:33" s="55" customFormat="1" ht="15.75" thickBot="1" x14ac:dyDescent="0.3">
      <c r="A114"/>
      <c r="B114" s="2"/>
      <c r="C114"/>
      <c r="D114"/>
      <c r="E114" s="54"/>
      <c r="F114" s="136"/>
      <c r="G114" s="84"/>
      <c r="H114" s="85"/>
      <c r="I114" s="85"/>
      <c r="J114" s="85"/>
      <c r="K114" s="86"/>
      <c r="L114" s="86"/>
      <c r="M114" s="61"/>
      <c r="N114" s="61"/>
      <c r="O114" s="620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D114" s="54"/>
      <c r="AG114" s="54"/>
    </row>
    <row r="115" spans="1:33" ht="15.75" thickBot="1" x14ac:dyDescent="0.3">
      <c r="B115" s="2"/>
      <c r="E115" s="54"/>
      <c r="F115" s="134"/>
      <c r="G115" s="807"/>
      <c r="H115" s="808"/>
      <c r="I115" s="894"/>
      <c r="J115" s="648" t="s">
        <v>56</v>
      </c>
      <c r="K115" s="922" t="s">
        <v>57</v>
      </c>
      <c r="L115" s="923"/>
      <c r="M115" s="61"/>
      <c r="N115" s="61"/>
      <c r="O115" s="620"/>
      <c r="P115" s="8"/>
      <c r="AC115"/>
      <c r="AD115" s="2"/>
      <c r="AG115" s="2"/>
    </row>
    <row r="116" spans="1:33" x14ac:dyDescent="0.25">
      <c r="B116" s="2"/>
      <c r="E116" s="54"/>
      <c r="F116" s="134"/>
      <c r="G116" s="822" t="s">
        <v>54</v>
      </c>
      <c r="H116" s="823"/>
      <c r="I116" s="905"/>
      <c r="J116" s="647">
        <f ca="1">+SUMIF(I5:I97,G116,AD5:AD93)</f>
        <v>141903230.7377739</v>
      </c>
      <c r="K116" s="924">
        <f>+SUMIF($I$5:$I$97,G116,$M$5:$M$97)</f>
        <v>209802520.92800003</v>
      </c>
      <c r="L116" s="925"/>
      <c r="M116" s="61"/>
      <c r="N116" s="61"/>
      <c r="O116" s="620"/>
      <c r="P116" s="8"/>
      <c r="AC116"/>
      <c r="AD116" s="2"/>
      <c r="AG116" s="2"/>
    </row>
    <row r="117" spans="1:33" ht="15.75" thickBot="1" x14ac:dyDescent="0.3">
      <c r="B117" s="2"/>
      <c r="E117" s="54"/>
      <c r="F117" s="134"/>
      <c r="G117" s="829" t="s">
        <v>55</v>
      </c>
      <c r="H117" s="830"/>
      <c r="I117" s="904"/>
      <c r="J117" s="646">
        <f>+SUMIF(I5:I97,G117,AD5:AD97)</f>
        <v>9333040.8326261081</v>
      </c>
      <c r="K117" s="916">
        <f>+SUMIF($I$5:$I$97,G117,$M$5:$M$97)</f>
        <v>12551751.637934616</v>
      </c>
      <c r="L117" s="917"/>
      <c r="M117" s="61"/>
      <c r="N117" s="61"/>
      <c r="O117" s="620"/>
      <c r="P117" s="8"/>
      <c r="AC117"/>
      <c r="AD117" s="5"/>
      <c r="AG117" s="2"/>
    </row>
    <row r="118" spans="1:33" x14ac:dyDescent="0.25">
      <c r="B118" s="2"/>
      <c r="E118" s="54"/>
      <c r="F118" s="134"/>
      <c r="G118" s="836" t="s">
        <v>351</v>
      </c>
      <c r="H118" s="837"/>
      <c r="I118" s="903"/>
      <c r="J118" s="645">
        <f ca="1">+J116/M125</f>
        <v>11825269.228147825</v>
      </c>
      <c r="K118" s="920">
        <f>+K116/M125</f>
        <v>17483543.410666671</v>
      </c>
      <c r="L118" s="921"/>
      <c r="M118" s="492"/>
      <c r="N118" s="61"/>
      <c r="O118" s="620"/>
      <c r="P118" s="8"/>
      <c r="AC118"/>
    </row>
    <row r="119" spans="1:33" ht="15.75" thickBot="1" x14ac:dyDescent="0.3">
      <c r="B119" s="2"/>
      <c r="E119" s="54"/>
      <c r="F119" s="134"/>
      <c r="G119" s="843" t="s">
        <v>352</v>
      </c>
      <c r="H119" s="844"/>
      <c r="I119" s="902"/>
      <c r="J119" s="644">
        <f>+J117/M125</f>
        <v>777753.40271884238</v>
      </c>
      <c r="K119" s="918">
        <f>+K117/M125</f>
        <v>1045979.3031612179</v>
      </c>
      <c r="L119" s="919"/>
      <c r="M119" s="492"/>
      <c r="N119" s="61"/>
      <c r="O119" s="620"/>
      <c r="P119" s="8"/>
      <c r="AC119"/>
    </row>
    <row r="120" spans="1:33" ht="15.75" thickBot="1" x14ac:dyDescent="0.3">
      <c r="B120" s="2"/>
      <c r="E120" s="54"/>
      <c r="F120" s="136"/>
      <c r="G120" s="84"/>
      <c r="H120" s="85"/>
      <c r="I120" s="85"/>
      <c r="J120" s="79"/>
      <c r="K120" s="86"/>
      <c r="L120" s="86"/>
      <c r="M120" s="492"/>
      <c r="N120" s="61"/>
      <c r="O120" s="620"/>
      <c r="P120" s="8"/>
      <c r="AC120"/>
    </row>
    <row r="121" spans="1:33" x14ac:dyDescent="0.25">
      <c r="B121" s="2"/>
      <c r="E121" s="54"/>
      <c r="F121" s="134"/>
      <c r="G121" s="80"/>
      <c r="H121" s="85"/>
      <c r="I121" s="897" t="s">
        <v>58</v>
      </c>
      <c r="J121" s="898"/>
      <c r="K121" s="601">
        <f>+K112/M125</f>
        <v>18529522.713827893</v>
      </c>
      <c r="L121" s="86"/>
      <c r="M121" s="61"/>
      <c r="N121" s="61"/>
      <c r="O121" s="620"/>
      <c r="P121" s="8"/>
      <c r="AC121"/>
    </row>
    <row r="122" spans="1:33" x14ac:dyDescent="0.25">
      <c r="B122" s="2"/>
      <c r="E122" s="54"/>
      <c r="F122" s="134"/>
      <c r="G122" s="80"/>
      <c r="H122" s="85"/>
      <c r="I122" s="895" t="s">
        <v>41</v>
      </c>
      <c r="J122" s="896"/>
      <c r="K122" s="602">
        <f>+K113/M125</f>
        <v>12603022.630866667</v>
      </c>
      <c r="L122" s="86"/>
      <c r="M122" s="61"/>
      <c r="N122" s="61"/>
      <c r="O122" s="620"/>
      <c r="P122" s="8"/>
      <c r="AC122"/>
    </row>
    <row r="123" spans="1:33" ht="15.75" thickBot="1" x14ac:dyDescent="0.3">
      <c r="B123" s="2"/>
      <c r="E123" s="54"/>
      <c r="F123" s="134"/>
      <c r="G123" s="80"/>
      <c r="H123" s="85"/>
      <c r="I123" s="906" t="s">
        <v>353</v>
      </c>
      <c r="J123" s="907"/>
      <c r="K123" s="603">
        <f>+L140/M125</f>
        <v>6.166666666666667</v>
      </c>
      <c r="L123" s="86"/>
      <c r="M123" s="61"/>
      <c r="N123" s="61"/>
      <c r="O123" s="620"/>
      <c r="P123" s="8"/>
      <c r="AC123"/>
    </row>
    <row r="124" spans="1:33" ht="15.75" thickBot="1" x14ac:dyDescent="0.3">
      <c r="B124" s="2"/>
      <c r="E124" s="54"/>
      <c r="F124" s="136"/>
      <c r="G124" s="84"/>
      <c r="H124" s="83"/>
      <c r="I124" s="83"/>
      <c r="J124" s="86"/>
      <c r="K124" s="86"/>
      <c r="L124" s="86"/>
      <c r="M124" s="61"/>
      <c r="N124" s="494"/>
      <c r="O124" s="490"/>
    </row>
    <row r="125" spans="1:33" ht="15.75" thickBot="1" x14ac:dyDescent="0.3">
      <c r="B125" s="2"/>
      <c r="E125" s="54"/>
      <c r="F125" s="135"/>
      <c r="G125" s="82"/>
      <c r="H125" s="81"/>
      <c r="I125" s="81"/>
      <c r="J125" s="79"/>
      <c r="K125" s="79"/>
      <c r="L125" s="87" t="s">
        <v>26</v>
      </c>
      <c r="M125" s="88">
        <v>12</v>
      </c>
      <c r="N125" s="61"/>
      <c r="O125" s="490"/>
    </row>
    <row r="126" spans="1:33" ht="15.75" thickBot="1" x14ac:dyDescent="0.3">
      <c r="B126" s="2"/>
      <c r="E126" s="54"/>
      <c r="F126" s="134"/>
      <c r="G126" s="89" t="s">
        <v>21</v>
      </c>
      <c r="H126" s="90" t="s">
        <v>18</v>
      </c>
      <c r="I126" s="90" t="s">
        <v>19</v>
      </c>
      <c r="J126" s="91" t="s">
        <v>40</v>
      </c>
      <c r="K126" s="91" t="s">
        <v>20</v>
      </c>
      <c r="L126" s="92" t="s">
        <v>16</v>
      </c>
      <c r="M126" s="92" t="s">
        <v>32</v>
      </c>
      <c r="N126" s="61"/>
      <c r="O126" s="490"/>
      <c r="P126" s="61"/>
      <c r="Q126" s="61"/>
      <c r="R126"/>
      <c r="S126"/>
      <c r="T126"/>
      <c r="U126"/>
      <c r="V126"/>
      <c r="W126" s="2"/>
      <c r="X126"/>
      <c r="Y126"/>
      <c r="Z126"/>
      <c r="AA126"/>
      <c r="AB126"/>
      <c r="AC126"/>
    </row>
    <row r="127" spans="1:33" x14ac:dyDescent="0.25">
      <c r="B127" s="2"/>
      <c r="E127" s="54"/>
      <c r="F127" s="134"/>
      <c r="G127" s="93" t="s">
        <v>4</v>
      </c>
      <c r="H127" s="161">
        <f>+SUMIF($J$5:$J$97,G127,$M$5:$M$97)</f>
        <v>39232031</v>
      </c>
      <c r="I127" s="162">
        <f>+SUMIF($J$5:$J$97,G127,$R$5:$R$97)+SUMIF($J$5:$J$97,G127,$S$5:$S$97)+SUMIF($J$5:$J$97,G127,$T$5:$T$97)+SUMIF($J$5:$J$97,G127,$U$5:$U$97)+SUMIF($J$5:$J$97,G127,$V$5:$V$97)+SUMIF($J$5:$J$97,G127,$W$5:$AB$97)+SUMIF($J$5:$J$97,G127,$X$5:$X$97)+SUMIF($J$5:$J$97,G127,$AB$5:$AB$97)+SUMIF($J$5:$J$97,G127,$Q$5:$Q$97)+SUMIF($J$5:$J$97,G127,$Y$5:$Y$97)+SUMIF($J$5:$J$97,G127,$Z$5:$Z$97)+SUMIF($J$5:$J$97,G127,$AA$5:$AA$97)+SUMIF($J$5:$J$97,G127,$AC$5:$AC$97)</f>
        <v>23817516</v>
      </c>
      <c r="J127" s="162">
        <f>+I127/$M$125</f>
        <v>1984793</v>
      </c>
      <c r="K127" s="94">
        <f>+J127/$J$140</f>
        <v>0.1574854745669462</v>
      </c>
      <c r="L127" s="95">
        <f>+COUNTIFS($I$5:$I$97,$G$116,$J$5:$J$97,G127)</f>
        <v>14</v>
      </c>
      <c r="M127" s="96">
        <f>+COUNTIFS($I$5:$I$97,$G$117,$J$5:$J$97,G127)</f>
        <v>0</v>
      </c>
      <c r="N127" s="61"/>
      <c r="O127" s="490"/>
      <c r="P127" s="61"/>
      <c r="Q127" s="61"/>
      <c r="R127"/>
      <c r="S127"/>
      <c r="T127"/>
      <c r="U127"/>
      <c r="V127"/>
      <c r="W127" s="2"/>
      <c r="X127"/>
      <c r="Y127"/>
      <c r="Z127"/>
      <c r="AA127"/>
      <c r="AB127"/>
      <c r="AC127"/>
    </row>
    <row r="128" spans="1:33" x14ac:dyDescent="0.25">
      <c r="B128" s="2"/>
      <c r="E128" s="54"/>
      <c r="F128" s="134"/>
      <c r="G128" s="97" t="s">
        <v>9</v>
      </c>
      <c r="H128" s="163">
        <f>+SUMIF($J$5:$J$97,G128,$M$5:$M$97)</f>
        <v>17231735.359999999</v>
      </c>
      <c r="I128" s="160">
        <f>+SUMIF($J$5:$J$97,G128,$R$5:$R$97)+SUMIF($J$5:$J$97,G128,$S$5:$S$97)+SUMIF($J$5:$J$97,G128,$T$5:$T$97)+SUMIF($J$5:$J$97,G128,$U$5:$U$97)+SUMIF($J$5:$J$97,G128,$V$5:$V$97)+SUMIF($J$5:$J$97,G128,$W$5:$AB$97)+SUMIF($J$5:$J$97,G128,$X$5:$X$97)+SUMIF($J$5:$J$97,G128,$AB$5:$AB$97)+SUMIF($J$5:$J$97,G128,$Q$5:$Q$97)+SUMIF($J$5:$J$97,G128,$Y$5:$Y$97)+SUMIF($J$5:$J$97,G128,$Z$5:$Z$97)+SUMIF($J$5:$J$97,G128,$AA$5:$AA$97)+SUMIF($J$5:$J$97,G127,$AC$5:$AC$97)</f>
        <v>11114789.359999999</v>
      </c>
      <c r="J128" s="160">
        <f>+I128/$M$125</f>
        <v>926232.44666666666</v>
      </c>
      <c r="K128" s="98">
        <f>+J128/$J$140</f>
        <v>7.3492881334528942E-2</v>
      </c>
      <c r="L128" s="76">
        <f>+COUNTIFS($I$5:$I$97,$G$116,$J$5:$J$97,G128)</f>
        <v>7</v>
      </c>
      <c r="M128" s="99">
        <f>+COUNTIFS($I$5:$I$97,$G$117,$J$5:$J$97,G128)</f>
        <v>4</v>
      </c>
      <c r="N128" s="61"/>
      <c r="O128" s="490"/>
      <c r="P128" s="61"/>
      <c r="Q128" s="61"/>
      <c r="R128"/>
      <c r="S128"/>
      <c r="T128"/>
      <c r="U128"/>
      <c r="V128"/>
      <c r="W128" s="2"/>
      <c r="X128"/>
      <c r="Y128"/>
      <c r="Z128"/>
      <c r="AA128"/>
      <c r="AB128"/>
      <c r="AC128"/>
    </row>
    <row r="129" spans="2:29" ht="15.75" thickBot="1" x14ac:dyDescent="0.3">
      <c r="B129" s="2"/>
      <c r="E129" s="54"/>
      <c r="F129" s="134"/>
      <c r="G129" s="100" t="s">
        <v>8</v>
      </c>
      <c r="H129" s="101">
        <f>+SUMIF($J$5:$J$97,G129,$M$5:$M$97)</f>
        <v>2969143</v>
      </c>
      <c r="I129" s="102">
        <f>+SUMIF($J$5:$J$97,G129,$R$5:$R$97)+SUMIF($J$5:$J$97,G129,$S$5:$S$97)+SUMIF($J$5:$J$97,G129,$T$5:$T$97)+SUMIF($J$5:$J$97,G129,$U$5:$U$97)+SUMIF($J$5:$J$97,G129,$V$5:$V$97)+SUMIF($J$5:$J$97,G129,$W$5:$AB$97)+SUMIF($J$5:$J$97,G129,$X$5:$X$97)+SUMIF($J$5:$J$97,G129,$AB$5:$AB$97)+SUMIF($J$5:$J$97,G129,$Q$5:$Q$97)+SUMIF($J$5:$J$97,G129,$Y$5:$Y$97)+SUMIF($J$5:$J$97,G129,$Z$5:$Z$97)+SUMIF($J$5:$J$97,G129,$AA$5:$AA$97)+SUMIF($J$5:$J$97,G127,$AC$5:$AC$97)</f>
        <v>414468</v>
      </c>
      <c r="J129" s="102">
        <f>+I129/$M$125</f>
        <v>34539</v>
      </c>
      <c r="K129" s="103">
        <f>+J129/$J$140</f>
        <v>2.7405330460495152E-3</v>
      </c>
      <c r="L129" s="104">
        <f>+COUNTIFS($I$5:$I$93,$G$116,$J$5:$J$93,G129)</f>
        <v>2</v>
      </c>
      <c r="M129" s="105">
        <f>+COUNTIFS($I$5:$I$97,$G$117,$J$5:$J$97,G129)</f>
        <v>0</v>
      </c>
      <c r="N129" s="61"/>
      <c r="O129" s="490"/>
      <c r="P129" s="61"/>
      <c r="Q129" s="61"/>
      <c r="R129"/>
      <c r="S129"/>
      <c r="T129"/>
      <c r="U129"/>
      <c r="V129"/>
      <c r="W129" s="2"/>
      <c r="X129"/>
      <c r="Y129"/>
      <c r="Z129"/>
      <c r="AA129"/>
      <c r="AB129"/>
      <c r="AC129"/>
    </row>
    <row r="130" spans="2:29" ht="15.75" thickBot="1" x14ac:dyDescent="0.3">
      <c r="B130" s="2"/>
      <c r="E130" s="54"/>
      <c r="F130" s="134"/>
      <c r="G130" s="106" t="s">
        <v>17</v>
      </c>
      <c r="H130" s="107">
        <f>SUM(H127:H129)</f>
        <v>59432909.359999999</v>
      </c>
      <c r="I130" s="107">
        <f>SUM(I127:I129)</f>
        <v>35346773.359999999</v>
      </c>
      <c r="J130" s="107">
        <f>SUM(J127:J129)</f>
        <v>2945564.4466666668</v>
      </c>
      <c r="K130" s="108"/>
      <c r="L130" s="109">
        <f>SUM(L127:L129)</f>
        <v>23</v>
      </c>
      <c r="M130" s="109">
        <f>SUM(M127:M129)</f>
        <v>4</v>
      </c>
      <c r="N130" s="61"/>
      <c r="O130" s="490"/>
      <c r="P130" s="61"/>
      <c r="Q130" s="61"/>
      <c r="R130"/>
      <c r="S130"/>
      <c r="T130"/>
      <c r="U130"/>
      <c r="V130"/>
      <c r="W130" s="2"/>
      <c r="X130"/>
      <c r="Y130"/>
      <c r="Z130"/>
      <c r="AA130"/>
      <c r="AB130"/>
      <c r="AC130"/>
    </row>
    <row r="131" spans="2:29" ht="15.75" thickBot="1" x14ac:dyDescent="0.3">
      <c r="B131" s="2"/>
      <c r="E131" s="54"/>
      <c r="F131" s="134"/>
      <c r="G131" s="79"/>
      <c r="H131" s="79"/>
      <c r="I131" s="635"/>
      <c r="J131" s="79"/>
      <c r="K131" s="108"/>
      <c r="L131" s="79"/>
      <c r="M131" s="79"/>
      <c r="N131" s="61"/>
      <c r="O131" s="490"/>
      <c r="P131" s="61"/>
      <c r="Q131" s="61"/>
      <c r="R131"/>
      <c r="S131"/>
      <c r="T131"/>
      <c r="U131"/>
      <c r="V131"/>
      <c r="W131" s="2"/>
      <c r="X131"/>
      <c r="Y131"/>
      <c r="Z131"/>
      <c r="AA131"/>
      <c r="AB131"/>
      <c r="AC131"/>
    </row>
    <row r="132" spans="2:29" x14ac:dyDescent="0.25">
      <c r="B132" s="2"/>
      <c r="E132" s="54"/>
      <c r="F132" s="134"/>
      <c r="G132" s="110" t="s">
        <v>6</v>
      </c>
      <c r="H132" s="161">
        <f>+SUMIF($J$5:$J$97,G132,$M$5:$M$97)</f>
        <v>71934277.310000002</v>
      </c>
      <c r="I132" s="162">
        <f>+SUMIF($J$5:$J$97,G132,$R$5:$R$97)+SUMIF($J$5:$J$97,G132,$S$5:$S$97)+SUMIF($J$5:$J$97,G132,$T$5:$T$97)+SUMIF($J$5:$J$97,G132,$U$5:$U$97)+SUMIF($J$5:$J$97,G132,$V$5:$V$97)+SUMIF($J$5:$J$97,G132,$W$5:$AB$97)+SUMIF($J$5:$J$97,G132,$X$5:$X$97)+SUMIF($J$5:$J$97,G132,$AB$5:$AB$97)+SUMIF($J$5:$J$97,G132,$Q$5:$Q$97)+SUMIF($J$5:$J$97,G132,$Y$5:$Y$97)+SUMIF($J$5:$J$97,G132,$Z$5:$Z$97)+SUMIF($J$5:$J$97,G132,$AA$5:$AA$97)+SUMIF($J$5:$J$97,G127,$AC$5:$AC$97)</f>
        <v>56463843.310000002</v>
      </c>
      <c r="J132" s="495">
        <f>+I132/$M$125</f>
        <v>4705320.2758333338</v>
      </c>
      <c r="K132" s="111">
        <f>+J132/$J$140</f>
        <v>0.37334855404522627</v>
      </c>
      <c r="L132" s="95">
        <f>+COUNTIFS($I$5:$I$97,$G$116,$J$5:$J$97,G132)</f>
        <v>35</v>
      </c>
      <c r="M132" s="96">
        <f>+COUNTIFS($I$5:$I$97,$G$117,$J$5:$J$97,G132)</f>
        <v>6</v>
      </c>
      <c r="N132" s="61"/>
      <c r="O132" s="490"/>
      <c r="P132" s="61"/>
      <c r="Q132" s="61"/>
      <c r="R132"/>
      <c r="S132"/>
      <c r="T132"/>
      <c r="U132"/>
      <c r="V132"/>
      <c r="W132" s="2"/>
      <c r="X132"/>
      <c r="Y132"/>
      <c r="Z132"/>
      <c r="AA132"/>
      <c r="AB132"/>
      <c r="AC132"/>
    </row>
    <row r="133" spans="2:29" x14ac:dyDescent="0.25">
      <c r="B133" s="2"/>
      <c r="E133" s="54"/>
      <c r="F133" s="134"/>
      <c r="G133" s="496" t="s">
        <v>133</v>
      </c>
      <c r="H133" s="163">
        <f>+SUMIF($J$5:$J$97,G133,$M$5:$M$97)</f>
        <v>2663360</v>
      </c>
      <c r="I133" s="160">
        <f>+SUMIF($J$5:$J$97,G133,$R$5:$R$97)+SUMIF($J$5:$J$97,G133,$S$5:$S$97)+SUMIF($J$5:$J$97,G133,$T$5:$T$97)+SUMIF($J$5:$J$97,G133,$U$5:$U$97)+SUMIF($J$5:$J$97,G133,$V$5:$V$97)+SUMIF($J$5:$J$97,G133,$W$5:$AB$97)+SUMIF($J$5:$J$97,G133,$X$5:$X$97)+SUMIF($J$5:$J$97,G133,$AB$5:$AB$97)+SUMIF($J$5:$J$97,G133,$Q$5:$Q$97)+SUMIF($J$5:$J$97,G133,$Y$5:$Y$97)+SUMIF($J$5:$J$97,G133,$Z$5:$Z$97)+SUMIF($J$5:$J$97,G133,$AA$5:$AA$97)+SUMIF($J$5:$J$97,G127,$AC$5:$AC$97)</f>
        <v>2663360</v>
      </c>
      <c r="J133" s="497">
        <f>+I133/$M$125</f>
        <v>221946.66666666666</v>
      </c>
      <c r="K133" s="498">
        <f>+J133/$J$140</f>
        <v>1.7610590186760946E-2</v>
      </c>
      <c r="L133" s="76">
        <f>+COUNTIFS($I$5:$I$97,$G$116,$J$5:$J$97,G133)</f>
        <v>1</v>
      </c>
      <c r="M133" s="99">
        <f>+COUNTIFS($I$5:$I$97,$G$117,$J$5:$J$97,G133)</f>
        <v>0</v>
      </c>
      <c r="N133" s="61"/>
      <c r="O133" s="490"/>
      <c r="P133" s="61"/>
      <c r="Q133" s="61"/>
      <c r="R133"/>
      <c r="S133"/>
      <c r="T133"/>
      <c r="U133"/>
      <c r="V133"/>
      <c r="W133" s="2"/>
      <c r="X133"/>
      <c r="Y133"/>
      <c r="Z133"/>
      <c r="AA133"/>
      <c r="AB133"/>
      <c r="AC133"/>
    </row>
    <row r="134" spans="2:29" ht="15.75" thickBot="1" x14ac:dyDescent="0.3">
      <c r="B134" s="2"/>
      <c r="E134" s="54"/>
      <c r="F134" s="134"/>
      <c r="G134" s="112" t="s">
        <v>44</v>
      </c>
      <c r="H134" s="101">
        <f>+SUMIF($J$5:$J$97,G134,$M$5:$M$97)</f>
        <v>8442753.7903999984</v>
      </c>
      <c r="I134" s="102">
        <f>+SUMIF($J$5:$J$97,G134,$R$5:$R$97)+SUMIF($J$5:$J$97,G134,$S$5:$S$97)+SUMIF($J$5:$J$97,G134,$T$5:$T$97)+SUMIF($J$5:$J$97,G134,$U$5:$U$97)+SUMIF($J$5:$J$97,G134,$V$5:$V$97)+SUMIF($J$5:$J$97,G134,$W$5:$AB$97)+SUMIF($J$5:$J$97,G134,$X$5:$X$97)+SUMIF($J$5:$J$97,G134,$AB$5:$AB$97)+SUMIF($J$5:$J$97,G134,$Q$5:$Q$97)+SUMIF($J$5:$J$97,G134,$Y$5:$Y$97)+SUMIF($J$5:$J$97,G134,$Z$5:$Z$97)+SUMIF($J$5:$J$97,G134,$AA$5:$AA$97)+SUMIF($J$5:$J$97,G127,$AC$5:$AC$97)</f>
        <v>8442753.7903999984</v>
      </c>
      <c r="J134" s="499">
        <f>+I134/$M$125</f>
        <v>703562.8158666665</v>
      </c>
      <c r="K134" s="113">
        <f>+J134/$J$140</f>
        <v>5.5824926803157288E-2</v>
      </c>
      <c r="L134" s="104">
        <f>+COUNTIFS($I$5:$I$97,$G$116,$J$5:$J$97,G134)</f>
        <v>4</v>
      </c>
      <c r="M134" s="105">
        <f>+COUNTIFS($I$5:$I$97,$G$117,$J$5:$J$97,G134)</f>
        <v>4</v>
      </c>
      <c r="N134" s="61"/>
      <c r="O134" s="490"/>
      <c r="P134" s="61"/>
      <c r="Q134" s="61"/>
      <c r="R134"/>
      <c r="S134"/>
      <c r="T134"/>
      <c r="U134"/>
      <c r="V134"/>
      <c r="W134" s="2"/>
      <c r="X134"/>
      <c r="Y134"/>
      <c r="Z134"/>
      <c r="AA134"/>
      <c r="AB134"/>
      <c r="AC134"/>
    </row>
    <row r="135" spans="2:29" ht="15.75" thickBot="1" x14ac:dyDescent="0.3">
      <c r="B135" s="2"/>
      <c r="E135" s="54"/>
      <c r="F135" s="134"/>
      <c r="G135" s="114" t="s">
        <v>22</v>
      </c>
      <c r="H135" s="107">
        <f>+H133+H132+H134</f>
        <v>83040391.100400001</v>
      </c>
      <c r="I135" s="107">
        <f>+I133+I132+I134</f>
        <v>67569957.100400001</v>
      </c>
      <c r="J135" s="107">
        <f>+J133+J132+J134</f>
        <v>5630829.7583666677</v>
      </c>
      <c r="K135" s="115"/>
      <c r="L135" s="109">
        <f>+L133+L132+L134</f>
        <v>40</v>
      </c>
      <c r="M135" s="109">
        <f>+M133+M132+M134</f>
        <v>10</v>
      </c>
      <c r="N135" s="61"/>
      <c r="O135" s="490"/>
      <c r="P135" s="61"/>
      <c r="Q135" s="61"/>
      <c r="R135"/>
      <c r="S135"/>
      <c r="T135"/>
      <c r="U135"/>
      <c r="V135"/>
      <c r="W135" s="2"/>
      <c r="X135"/>
      <c r="Y135"/>
      <c r="Z135"/>
      <c r="AA135"/>
      <c r="AB135"/>
      <c r="AC135"/>
    </row>
    <row r="136" spans="2:29" ht="15.75" thickBot="1" x14ac:dyDescent="0.3">
      <c r="B136" s="2"/>
      <c r="E136" s="54"/>
      <c r="F136" s="134"/>
      <c r="G136" s="79"/>
      <c r="H136" s="83"/>
      <c r="I136" s="83"/>
      <c r="J136" s="81"/>
      <c r="K136" s="115"/>
      <c r="L136" s="81"/>
      <c r="M136" s="81"/>
      <c r="N136" s="61"/>
      <c r="O136" s="490"/>
      <c r="P136" s="61"/>
      <c r="Q136" s="61"/>
      <c r="R136"/>
      <c r="S136"/>
      <c r="T136"/>
      <c r="U136"/>
      <c r="V136"/>
      <c r="W136" s="2"/>
      <c r="X136"/>
      <c r="Y136"/>
      <c r="Z136"/>
      <c r="AA136"/>
      <c r="AB136"/>
      <c r="AC136"/>
    </row>
    <row r="137" spans="2:29" x14ac:dyDescent="0.25">
      <c r="B137" s="2"/>
      <c r="E137" s="54"/>
      <c r="F137" s="134"/>
      <c r="G137" s="116" t="s">
        <v>13</v>
      </c>
      <c r="H137" s="500">
        <f>+SUMIF($J$5:$J$97,G137,$M$5:$M$97)</f>
        <v>59156559.995534621</v>
      </c>
      <c r="I137" s="501">
        <f>+SUMIF($J$5:$J$97,G137,$R$5:$R$97)+SUMIF($J$5:$J$97,G137,$S$5:$S$97)+SUMIF($J$5:$J$97,G137,$T$5:$T$97)+SUMIF($J$5:$J$97,G137,$U$5:$U$97)+SUMIF($J$5:$J$97,G137,$V$5:$V$97)+SUMIF($J$5:$J$97,G137,$W$5:$AB$97)+SUMIF($J$5:$J$97,G137,$X$5:$X$97)+SUMIF($J$5:$J$97,G137,$AB$5:$AB$97)+SUMIF($J$5:$J$97,G137,$Q$5:$Q$97)+SUMIF($J$5:$J$97,G137,$Y$5:$Y$97)+SUMIF($J$5:$J$97,G137,$Z$5:$Z$97)+SUMIF($J$5:$J$97,G137,$AA$5:$AA$97)+SUMIF($J$5:$J$97,G127,$AC$5:$AC$97)</f>
        <v>30044560</v>
      </c>
      <c r="J137" s="502">
        <f>+I137/$M$125</f>
        <v>2503713.3333333335</v>
      </c>
      <c r="K137" s="117">
        <f>+J137/$J$140</f>
        <v>0.19865975065389227</v>
      </c>
      <c r="L137" s="118">
        <f>+COUNTIFS($I$5:$I$97,$G$116,$J$5:$J$97,G137)</f>
        <v>3</v>
      </c>
      <c r="M137" s="119">
        <f>+COUNTIFS($I$5:$I$97,$G$117,$J$5:$J$97,G137)</f>
        <v>4</v>
      </c>
      <c r="N137" s="61"/>
      <c r="O137" s="490"/>
      <c r="P137" s="61"/>
      <c r="Q137" s="61"/>
      <c r="R137"/>
      <c r="S137"/>
      <c r="T137"/>
      <c r="U137"/>
      <c r="V137"/>
      <c r="W137" s="2"/>
      <c r="X137"/>
      <c r="Y137"/>
      <c r="Z137"/>
      <c r="AA137"/>
      <c r="AB137"/>
      <c r="AC137"/>
    </row>
    <row r="138" spans="2:29" ht="15.75" thickBot="1" x14ac:dyDescent="0.3">
      <c r="B138" s="2"/>
      <c r="E138" s="54"/>
      <c r="F138" s="134"/>
      <c r="G138" s="120" t="s">
        <v>14</v>
      </c>
      <c r="H138" s="503">
        <f>+SUMIF($J$5:$J$97,G138,$M$5:$M$97)</f>
        <v>20724412.109999999</v>
      </c>
      <c r="I138" s="504">
        <f>+SUMIF($J$5:$J$97,G138,$R$5:$R$97)+SUMIF($J$5:$J$97,G138,$S$5:$S$97)+SUMIF($J$5:$J$97,G138,$T$5:$T$97)+SUMIF($J$5:$J$97,G138,$U$5:$U$97)+SUMIF($J$5:$J$97,G138,$V$5:$V$97)+SUMIF($J$5:$J$97,G138,$W$5:$AB$97)+SUMIF($J$5:$J$97,G138,$X$5:$X$97)+SUMIF($J$5:$J$97,G138,$AB$5:$AB$97)+SUMIF($J$5:$J$97,G138,$Q$5:$Q$97)+SUMIF($J$5:$J$97,G138,$Y$5:$Y$97)+SUMIF($J$5:$J$97,G138,$Z$5:$Z$97)+SUMIF($J$5:$J$97,G138,$AA$5:$AA$97)+SUMIF($J$5:$J$97,G127,$AC$5:$AC$97)</f>
        <v>18274981.109999999</v>
      </c>
      <c r="J138" s="505">
        <f>+I138/$M$125</f>
        <v>1522915.0925</v>
      </c>
      <c r="K138" s="506">
        <f>+J138/$J$140</f>
        <v>0.12083728936343854</v>
      </c>
      <c r="L138" s="78">
        <f>+COUNTIFS($I$5:$I$97,$G$116,$J$5:$J$97,G138)</f>
        <v>8</v>
      </c>
      <c r="M138" s="507">
        <f>+COUNTIFS($I$5:$I$97,$G$117,$J$5:$J$97,G138)</f>
        <v>0</v>
      </c>
      <c r="N138" s="61"/>
      <c r="O138" s="490"/>
      <c r="P138" s="61"/>
      <c r="Q138" s="61"/>
      <c r="R138"/>
      <c r="S138"/>
      <c r="T138"/>
      <c r="U138"/>
      <c r="V138"/>
      <c r="W138" s="2"/>
      <c r="X138"/>
      <c r="Y138"/>
      <c r="Z138"/>
      <c r="AA138"/>
      <c r="AB138"/>
      <c r="AC138"/>
    </row>
    <row r="139" spans="2:29" ht="15.75" thickBot="1" x14ac:dyDescent="0.3">
      <c r="B139" s="2"/>
      <c r="E139" s="54"/>
      <c r="F139" s="134"/>
      <c r="G139" s="121" t="s">
        <v>22</v>
      </c>
      <c r="H139" s="508">
        <f>+H138+H137</f>
        <v>79880972.105534613</v>
      </c>
      <c r="I139" s="509">
        <f>+I138+I137</f>
        <v>48319541.109999999</v>
      </c>
      <c r="J139" s="509">
        <f>+J138+J137</f>
        <v>4026628.4258333333</v>
      </c>
      <c r="K139" s="510"/>
      <c r="L139" s="511">
        <f>+L138+L137</f>
        <v>11</v>
      </c>
      <c r="M139" s="512">
        <f>+M138+M137</f>
        <v>4</v>
      </c>
      <c r="N139" s="61"/>
      <c r="O139" s="490"/>
      <c r="P139" s="61"/>
      <c r="Q139" s="61"/>
      <c r="R139"/>
      <c r="S139"/>
      <c r="T139" s="513"/>
      <c r="U139"/>
      <c r="V139"/>
      <c r="W139" s="1"/>
      <c r="X139"/>
      <c r="Y139"/>
      <c r="Z139"/>
      <c r="AA139"/>
      <c r="AB139"/>
      <c r="AC139"/>
    </row>
    <row r="140" spans="2:29" ht="15.75" thickBot="1" x14ac:dyDescent="0.3">
      <c r="B140" s="2"/>
      <c r="E140" s="54"/>
      <c r="F140" s="134"/>
      <c r="G140" s="122" t="s">
        <v>23</v>
      </c>
      <c r="H140" s="123">
        <f>+H139+H135+H130</f>
        <v>222354272.5659346</v>
      </c>
      <c r="I140" s="123">
        <f>+I139+I135+I130</f>
        <v>151236271.5704</v>
      </c>
      <c r="J140" s="123">
        <f>+J139+J135+J130</f>
        <v>12603022.630866667</v>
      </c>
      <c r="K140" s="79"/>
      <c r="L140" s="124">
        <f>+L139+L135+L130</f>
        <v>74</v>
      </c>
      <c r="M140" s="125">
        <f>+M139+M135+M130</f>
        <v>18</v>
      </c>
      <c r="N140" s="61"/>
      <c r="O140" s="490"/>
      <c r="P140" s="61"/>
      <c r="Q140" s="61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2:29" ht="15.75" thickBot="1" x14ac:dyDescent="0.3">
      <c r="B141" s="2"/>
      <c r="E141" s="54"/>
      <c r="F141" s="134"/>
      <c r="G141" s="126" t="s">
        <v>25</v>
      </c>
      <c r="H141" s="127">
        <f>+K112-H140</f>
        <v>0</v>
      </c>
      <c r="I141" s="636">
        <f>+K113-I140</f>
        <v>0</v>
      </c>
      <c r="J141" s="127">
        <f>+J140-K122</f>
        <v>0</v>
      </c>
      <c r="K141" s="79"/>
      <c r="L141" s="820">
        <f>+L140+M140</f>
        <v>92</v>
      </c>
      <c r="M141" s="915"/>
      <c r="N141" s="61"/>
      <c r="O141" s="490"/>
      <c r="P141" s="490"/>
      <c r="Q141" s="61"/>
      <c r="R141" s="61"/>
      <c r="S141"/>
      <c r="T141"/>
      <c r="U141"/>
      <c r="V141"/>
      <c r="W141"/>
      <c r="X141"/>
      <c r="Y141"/>
      <c r="Z141"/>
      <c r="AA141"/>
      <c r="AB141"/>
      <c r="AC141"/>
    </row>
    <row r="142" spans="2:29" x14ac:dyDescent="0.25">
      <c r="B142" s="2"/>
      <c r="E142" s="54"/>
      <c r="F142" s="137"/>
      <c r="G142" s="126"/>
      <c r="H142" s="127"/>
      <c r="I142" s="636"/>
      <c r="J142" s="127"/>
      <c r="K142" s="79"/>
      <c r="L142" s="79"/>
      <c r="M142" s="79"/>
      <c r="N142" s="61"/>
      <c r="O142" s="490"/>
      <c r="P142" s="490"/>
      <c r="Q142" s="61"/>
      <c r="R142" s="61"/>
      <c r="S142"/>
      <c r="T142"/>
      <c r="U142"/>
      <c r="V142"/>
      <c r="W142"/>
      <c r="X142"/>
      <c r="Y142"/>
      <c r="Z142"/>
      <c r="AA142"/>
      <c r="AB142"/>
      <c r="AC142"/>
    </row>
    <row r="143" spans="2:29" x14ac:dyDescent="0.25">
      <c r="B143" s="2"/>
      <c r="E143" s="54"/>
      <c r="F143" s="134"/>
      <c r="G143" s="80"/>
      <c r="H143" s="79"/>
      <c r="I143" s="637" t="s">
        <v>61</v>
      </c>
      <c r="J143" s="127"/>
      <c r="K143" s="79"/>
      <c r="L143" s="79"/>
      <c r="M143" s="79"/>
      <c r="N143" s="61"/>
      <c r="O143" s="490"/>
      <c r="P143" s="490"/>
      <c r="Q143" s="61"/>
      <c r="R143" s="61"/>
      <c r="S143"/>
      <c r="T143"/>
      <c r="U143"/>
      <c r="V143"/>
      <c r="W143"/>
      <c r="X143"/>
      <c r="Y143"/>
      <c r="Z143"/>
      <c r="AA143"/>
      <c r="AB143"/>
      <c r="AC143"/>
    </row>
    <row r="144" spans="2:29" x14ac:dyDescent="0.25">
      <c r="B144" s="2"/>
      <c r="E144" s="54"/>
      <c r="F144" s="134"/>
      <c r="G144" s="80"/>
      <c r="H144" s="79"/>
      <c r="I144" s="638"/>
      <c r="J144" s="126"/>
      <c r="K144" s="126"/>
      <c r="L144" s="127"/>
      <c r="M144" s="79"/>
      <c r="N144" s="61"/>
      <c r="O144" s="490"/>
      <c r="P144" s="490"/>
      <c r="Q144" s="61"/>
      <c r="R144" s="61"/>
      <c r="S144"/>
      <c r="T144"/>
      <c r="U144"/>
      <c r="V144"/>
      <c r="W144"/>
      <c r="X144"/>
      <c r="Y144"/>
      <c r="Z144"/>
      <c r="AA144"/>
      <c r="AB144"/>
      <c r="AC144"/>
    </row>
    <row r="145" spans="2:29" x14ac:dyDescent="0.25">
      <c r="B145" s="2"/>
      <c r="E145" s="54"/>
      <c r="F145" s="134"/>
      <c r="G145" s="80"/>
      <c r="H145" s="79"/>
      <c r="I145" s="635"/>
      <c r="J145" s="70" t="s">
        <v>312</v>
      </c>
      <c r="K145" s="70" t="s">
        <v>60</v>
      </c>
      <c r="L145" s="70" t="s">
        <v>3</v>
      </c>
      <c r="M145" s="79"/>
      <c r="N145" s="79"/>
      <c r="O145" s="490"/>
      <c r="P145" s="490"/>
      <c r="Q145" s="61"/>
      <c r="R145" s="61"/>
      <c r="S145"/>
      <c r="T145"/>
      <c r="U145"/>
      <c r="V145"/>
      <c r="W145"/>
      <c r="X145"/>
      <c r="Y145"/>
      <c r="Z145"/>
      <c r="AA145"/>
      <c r="AB145"/>
      <c r="AC145"/>
    </row>
    <row r="146" spans="2:29" x14ac:dyDescent="0.25">
      <c r="B146" s="2"/>
      <c r="E146" s="54"/>
      <c r="F146" s="134"/>
      <c r="G146" s="80"/>
      <c r="H146" s="79"/>
      <c r="I146" s="639" t="s">
        <v>3</v>
      </c>
      <c r="J146" s="72">
        <f>+COUNTIF($G$5:$G$97,J145)</f>
        <v>63</v>
      </c>
      <c r="K146" s="72">
        <f>+COUNTIF($G$5:$G$97,K145)</f>
        <v>7</v>
      </c>
      <c r="L146" s="72">
        <f>+J146+K146</f>
        <v>70</v>
      </c>
      <c r="M146" s="79"/>
      <c r="N146" s="79"/>
      <c r="O146" s="490"/>
      <c r="P146" s="490"/>
      <c r="Q146" s="61"/>
      <c r="R146" s="61"/>
      <c r="S146"/>
      <c r="T146"/>
      <c r="U146"/>
      <c r="V146"/>
      <c r="W146"/>
      <c r="X146"/>
      <c r="Y146"/>
      <c r="Z146"/>
      <c r="AA146"/>
      <c r="AB146"/>
      <c r="AC146"/>
    </row>
    <row r="147" spans="2:29" x14ac:dyDescent="0.25">
      <c r="B147" s="2"/>
      <c r="E147" s="54"/>
      <c r="F147" s="134"/>
      <c r="G147" s="80"/>
      <c r="H147" s="79"/>
      <c r="I147" s="76" t="s">
        <v>55</v>
      </c>
      <c r="J147" s="77">
        <f>+COUNTIFS($G$5:$G$96,$J$145,$I$5:$I$96,I147)</f>
        <v>7</v>
      </c>
      <c r="K147" s="77">
        <f>+COUNTIFS($G$5:$G$96,$K$145,$I$5:$I$96,I147)</f>
        <v>2</v>
      </c>
      <c r="L147" s="77">
        <f>+K147+J147</f>
        <v>9</v>
      </c>
      <c r="M147" s="79"/>
      <c r="N147" s="79"/>
      <c r="O147" s="490"/>
      <c r="P147" s="490"/>
      <c r="Q147" s="61"/>
      <c r="R147" s="61"/>
      <c r="S147"/>
      <c r="T147"/>
      <c r="U147"/>
      <c r="V147"/>
      <c r="W147"/>
      <c r="X147"/>
      <c r="Y147"/>
      <c r="Z147"/>
      <c r="AA147"/>
      <c r="AB147"/>
      <c r="AC147"/>
    </row>
    <row r="148" spans="2:29" x14ac:dyDescent="0.25">
      <c r="B148" s="2"/>
      <c r="E148" s="54"/>
      <c r="F148" s="137"/>
      <c r="G148" s="126"/>
      <c r="H148" s="127"/>
      <c r="I148" s="78" t="s">
        <v>54</v>
      </c>
      <c r="J148" s="77">
        <f>+COUNTIFS($G$5:$G$96,$J$145,$I$5:$I$96,I148)</f>
        <v>56</v>
      </c>
      <c r="K148" s="77">
        <f>+COUNTIFS($G$5:$G$96,$K$145,$I$5:$I$96,I148)</f>
        <v>5</v>
      </c>
      <c r="L148" s="77">
        <f>+K148+J148</f>
        <v>61</v>
      </c>
      <c r="M148" s="590"/>
      <c r="N148" s="79"/>
      <c r="O148" s="490"/>
      <c r="P148" s="490"/>
      <c r="Q148" s="61"/>
      <c r="R148" s="61"/>
      <c r="S148"/>
      <c r="T148"/>
      <c r="U148"/>
      <c r="V148"/>
      <c r="W148"/>
      <c r="X148"/>
      <c r="Y148"/>
      <c r="Z148"/>
      <c r="AA148"/>
      <c r="AB148"/>
      <c r="AC148"/>
    </row>
    <row r="149" spans="2:29" ht="15.75" thickBot="1" x14ac:dyDescent="0.3">
      <c r="B149" s="2"/>
      <c r="E149" s="54"/>
      <c r="F149" s="139"/>
      <c r="G149" s="129"/>
      <c r="H149" s="130"/>
      <c r="I149" s="640"/>
      <c r="J149" s="128"/>
      <c r="K149" s="62"/>
      <c r="L149" s="62"/>
      <c r="M149" s="62"/>
      <c r="N149" s="62"/>
      <c r="O149" s="514"/>
      <c r="P149" s="61"/>
      <c r="Q149" s="61"/>
      <c r="T149"/>
      <c r="U149"/>
      <c r="V149"/>
      <c r="W149"/>
      <c r="X149"/>
      <c r="Y149"/>
      <c r="Z149"/>
      <c r="AA149"/>
      <c r="AB149"/>
      <c r="AC149"/>
    </row>
    <row r="150" spans="2:29" x14ac:dyDescent="0.25">
      <c r="B150" s="2"/>
      <c r="E150" s="54"/>
      <c r="M150"/>
      <c r="P150" s="61"/>
      <c r="Q150" s="61"/>
      <c r="T150"/>
      <c r="U150"/>
      <c r="V150"/>
      <c r="W150"/>
      <c r="X150"/>
      <c r="Y150"/>
      <c r="Z150"/>
      <c r="AA150"/>
      <c r="AB150"/>
      <c r="AC150"/>
    </row>
    <row r="151" spans="2:29" x14ac:dyDescent="0.25">
      <c r="P151" s="61"/>
      <c r="Q151" s="61"/>
      <c r="T151"/>
      <c r="U151"/>
      <c r="V151"/>
      <c r="W151"/>
      <c r="X151"/>
      <c r="Y151"/>
      <c r="Z151"/>
      <c r="AA151"/>
      <c r="AB151"/>
      <c r="AC151"/>
    </row>
    <row r="152" spans="2:29" x14ac:dyDescent="0.25">
      <c r="P152" s="61"/>
      <c r="Q152" s="61"/>
      <c r="T152"/>
      <c r="U152"/>
      <c r="V152"/>
      <c r="W152"/>
      <c r="X152"/>
      <c r="Y152"/>
      <c r="Z152"/>
      <c r="AA152"/>
      <c r="AB152"/>
      <c r="AC152"/>
    </row>
  </sheetData>
  <autoFilter ref="E4:AE98"/>
  <mergeCells count="28">
    <mergeCell ref="I121:J121"/>
    <mergeCell ref="I122:J122"/>
    <mergeCell ref="I123:J123"/>
    <mergeCell ref="L141:M141"/>
    <mergeCell ref="G117:I117"/>
    <mergeCell ref="K117:L117"/>
    <mergeCell ref="G118:I118"/>
    <mergeCell ref="K118:L118"/>
    <mergeCell ref="G119:I119"/>
    <mergeCell ref="K119:L119"/>
    <mergeCell ref="I112:J112"/>
    <mergeCell ref="I113:J113"/>
    <mergeCell ref="G115:I115"/>
    <mergeCell ref="K115:L115"/>
    <mergeCell ref="G116:I116"/>
    <mergeCell ref="K116:L116"/>
    <mergeCell ref="G107:N107"/>
    <mergeCell ref="C4:C7"/>
    <mergeCell ref="C8:C10"/>
    <mergeCell ref="C11:C13"/>
    <mergeCell ref="C14:C23"/>
    <mergeCell ref="C25:C34"/>
    <mergeCell ref="C35:C42"/>
    <mergeCell ref="C43:C58"/>
    <mergeCell ref="C59:C84"/>
    <mergeCell ref="C85:C87"/>
    <mergeCell ref="C88:C93"/>
    <mergeCell ref="C94:C96"/>
  </mergeCells>
  <conditionalFormatting sqref="D97:D1048576 D1:D87">
    <cfRule type="containsText" dxfId="5" priority="4" operator="containsText" text="SI">
      <formula>NOT(ISERROR(SEARCH("SI",D1)))</formula>
    </cfRule>
    <cfRule type="containsText" dxfId="4" priority="5" operator="containsText" text="NO">
      <formula>NOT(ISERROR(SEARCH("NO",D1)))</formula>
    </cfRule>
    <cfRule type="containsText" dxfId="3" priority="6" operator="containsText" text="SI">
      <formula>NOT(ISERROR(SEARCH("SI",D1)))</formula>
    </cfRule>
  </conditionalFormatting>
  <conditionalFormatting sqref="D88:D96">
    <cfRule type="containsText" dxfId="2" priority="1" operator="containsText" text="SI">
      <formula>NOT(ISERROR(SEARCH("SI",D88)))</formula>
    </cfRule>
    <cfRule type="containsText" dxfId="1" priority="2" operator="containsText" text="NO">
      <formula>NOT(ISERROR(SEARCH("NO",D88)))</formula>
    </cfRule>
    <cfRule type="containsText" dxfId="0" priority="3" operator="containsText" text="SI">
      <formula>NOT(ISERROR(SEARCH("SI",D88)))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40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VENTAS 2021</vt:lpstr>
      <vt:lpstr>M3 - USD 2021</vt:lpstr>
      <vt:lpstr>VENTAS 2020</vt:lpstr>
      <vt:lpstr>M3 - USD 2020</vt:lpstr>
      <vt:lpstr>VENTAS 2019</vt:lpstr>
      <vt:lpstr>M3 - USD 2019</vt:lpstr>
      <vt:lpstr>VENTAS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2021-06-29T13:23:50Z</dcterms:modified>
</cp:coreProperties>
</file>